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8195" windowHeight="12270" tabRatio="1000" firstSheet="5" activeTab="11"/>
  </bookViews>
  <sheets>
    <sheet name="APCo STATEMENT AF" sheetId="1" r:id="rId1"/>
    <sheet name="APCo STATEMENT AG" sheetId="2" r:id="rId2"/>
    <sheet name="I &amp; M STATEMENT AF" sheetId="3" r:id="rId3"/>
    <sheet name="I &amp; M STATEMENT AG" sheetId="4" r:id="rId4"/>
    <sheet name="KPCo STATEMENT AF" sheetId="5" r:id="rId5"/>
    <sheet name="KPCo STATEMENT AG" sheetId="6" r:id="rId6"/>
    <sheet name="KGPCo STATEMENT AF" sheetId="7" r:id="rId7"/>
    <sheet name="KGPCo STATEMENT AG" sheetId="8" r:id="rId8"/>
    <sheet name="OPCo STATEMENT AF" sheetId="9" r:id="rId9"/>
    <sheet name="OPCo STATEMENT AG" sheetId="10" r:id="rId10"/>
    <sheet name="WPCo STATEMENT AF" sheetId="11" r:id="rId11"/>
    <sheet name="WPCo STATEMENT AG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HEADA" localSheetId="1">#REF!</definedName>
    <definedName name="HEADA" localSheetId="2">'I &amp; M STATEMENT AF'!#REF!</definedName>
    <definedName name="HEADA" localSheetId="3">#REF!</definedName>
    <definedName name="HEADA" localSheetId="6">'KGPCo STATEMENT AF'!#REF!</definedName>
    <definedName name="HEADA" localSheetId="7">#REF!</definedName>
    <definedName name="HEADA" localSheetId="4">'KPCo STATEMENT AF'!#REF!</definedName>
    <definedName name="HEADA" localSheetId="8">'OPCo STATEMENT AF'!#REF!</definedName>
    <definedName name="HEADA" localSheetId="9">#REF!</definedName>
    <definedName name="HEADA" localSheetId="10">'WPCo STATEMENT AF'!#REF!</definedName>
    <definedName name="HEADA" localSheetId="11">#REF!</definedName>
    <definedName name="HEADA">'APCo STATEMENT AF'!#REF!</definedName>
    <definedName name="HEADB" localSheetId="1">'APCo STATEMENT AG'!#REF!</definedName>
    <definedName name="HEADB" localSheetId="2">#REF!</definedName>
    <definedName name="HEADB" localSheetId="3">'I &amp; M STATEMENT AG'!#REF!</definedName>
    <definedName name="HEADB" localSheetId="6">#REF!</definedName>
    <definedName name="HEADB" localSheetId="7">'KGPCo STATEMENT AG'!#REF!</definedName>
    <definedName name="HEADB" localSheetId="5">'KPCo STATEMENT AG'!#REF!</definedName>
    <definedName name="HEADB" localSheetId="8">#REF!</definedName>
    <definedName name="HEADB" localSheetId="9">'OPCo STATEMENT AG'!#REF!</definedName>
    <definedName name="HEADB" localSheetId="10">#REF!</definedName>
    <definedName name="HEADB" localSheetId="11">'WPCo STATEMENT AG'!#REF!</definedName>
    <definedName name="HEADB">#REF!</definedName>
    <definedName name="HEADC" localSheetId="1">#REF!</definedName>
    <definedName name="HEADC" localSheetId="2">#REF!</definedName>
    <definedName name="HEADC" localSheetId="3">#REF!</definedName>
    <definedName name="HEADC" localSheetId="6">#REF!</definedName>
    <definedName name="HEADC" localSheetId="7">#REF!</definedName>
    <definedName name="HEADC" localSheetId="8">#REF!</definedName>
    <definedName name="HEADC" localSheetId="9">#REF!</definedName>
    <definedName name="HEADC" localSheetId="10">#REF!</definedName>
    <definedName name="HEADC" localSheetId="11">#REF!</definedName>
    <definedName name="HEADC">#REF!</definedName>
    <definedName name="HEADD" localSheetId="1">#REF!</definedName>
    <definedName name="HEADD" localSheetId="2">#REF!</definedName>
    <definedName name="HEADD" localSheetId="3">#REF!</definedName>
    <definedName name="HEADD" localSheetId="6">#REF!</definedName>
    <definedName name="HEADD" localSheetId="7">#REF!</definedName>
    <definedName name="HEADD" localSheetId="8">#REF!</definedName>
    <definedName name="HEADD" localSheetId="9">#REF!</definedName>
    <definedName name="HEADD" localSheetId="10">#REF!</definedName>
    <definedName name="HEADD" localSheetId="11">#REF!</definedName>
    <definedName name="HEADD">#REF!</definedName>
    <definedName name="PAGEA" localSheetId="1">#REF!</definedName>
    <definedName name="PAGEA" localSheetId="2">'I &amp; M STATEMENT AF'!#REF!</definedName>
    <definedName name="PAGEA" localSheetId="3">#REF!</definedName>
    <definedName name="PAGEA" localSheetId="6">'KGPCo STATEMENT AF'!#REF!</definedName>
    <definedName name="PAGEA" localSheetId="7">#REF!</definedName>
    <definedName name="PAGEA" localSheetId="4">'KPCo STATEMENT AF'!#REF!</definedName>
    <definedName name="PAGEA" localSheetId="8">'OPCo STATEMENT AF'!#REF!</definedName>
    <definedName name="PAGEA" localSheetId="9">#REF!</definedName>
    <definedName name="PAGEA" localSheetId="10">'WPCo STATEMENT AF'!#REF!</definedName>
    <definedName name="PAGEA" localSheetId="11">#REF!</definedName>
    <definedName name="PAGEA">'APCo STATEMENT AF'!#REF!</definedName>
    <definedName name="PAGEB" localSheetId="1">'APCo STATEMENT AG'!#REF!</definedName>
    <definedName name="PAGEB" localSheetId="2">#REF!</definedName>
    <definedName name="PAGEB" localSheetId="3">'I &amp; M STATEMENT AG'!#REF!</definedName>
    <definedName name="PAGEB" localSheetId="6">#REF!</definedName>
    <definedName name="PAGEB" localSheetId="7">'KGPCo STATEMENT AG'!#REF!</definedName>
    <definedName name="PAGEB" localSheetId="5">'KPCo STATEMENT AG'!#REF!</definedName>
    <definedName name="PAGEB" localSheetId="8">#REF!</definedName>
    <definedName name="PAGEB" localSheetId="9">'OPCo STATEMENT AG'!#REF!</definedName>
    <definedName name="PAGEB" localSheetId="10">#REF!</definedName>
    <definedName name="PAGEB" localSheetId="11">'WPCo STATEMENT AG'!#REF!</definedName>
    <definedName name="PAGEB">#REF!</definedName>
    <definedName name="PAGEC" localSheetId="1">#REF!</definedName>
    <definedName name="PAGEC" localSheetId="2">#REF!</definedName>
    <definedName name="PAGEC" localSheetId="3">#REF!</definedName>
    <definedName name="PAGEC" localSheetId="6">#REF!</definedName>
    <definedName name="PAGEC" localSheetId="7">#REF!</definedName>
    <definedName name="PAGEC" localSheetId="8">#REF!</definedName>
    <definedName name="PAGEC" localSheetId="9">#REF!</definedName>
    <definedName name="PAGEC" localSheetId="10">#REF!</definedName>
    <definedName name="PAGEC" localSheetId="11">#REF!</definedName>
    <definedName name="PAGEC">#REF!</definedName>
    <definedName name="PAGED" localSheetId="1">#REF!</definedName>
    <definedName name="PAGED" localSheetId="2">#REF!</definedName>
    <definedName name="PAGED" localSheetId="3">#REF!</definedName>
    <definedName name="PAGED" localSheetId="6">#REF!</definedName>
    <definedName name="PAGED" localSheetId="7">#REF!</definedName>
    <definedName name="PAGED" localSheetId="8">#REF!</definedName>
    <definedName name="PAGED" localSheetId="9">#REF!</definedName>
    <definedName name="PAGED" localSheetId="10">#REF!</definedName>
    <definedName name="PAGED" localSheetId="11">#REF!</definedName>
    <definedName name="PAGED">#REF!</definedName>
    <definedName name="_xlnm.Print_Area" localSheetId="0">'APCo STATEMENT AF'!#REF!</definedName>
    <definedName name="_xlnm.Print_Area" localSheetId="1">'APCo STATEMENT AG'!#REF!</definedName>
    <definedName name="_xlnm.Print_Area" localSheetId="2">'I &amp; M STATEMENT AF'!#REF!</definedName>
    <definedName name="_xlnm.Print_Area" localSheetId="3">'I &amp; M STATEMENT AG'!#REF!</definedName>
    <definedName name="_xlnm.Print_Area" localSheetId="6">'KGPCo STATEMENT AF'!#REF!</definedName>
    <definedName name="_xlnm.Print_Area" localSheetId="7">'KGPCo STATEMENT AG'!#REF!</definedName>
    <definedName name="_xlnm.Print_Area" localSheetId="4">'KPCo STATEMENT AF'!#REF!</definedName>
    <definedName name="_xlnm.Print_Area" localSheetId="5">'KPCo STATEMENT AG'!#REF!</definedName>
    <definedName name="_xlnm.Print_Area" localSheetId="8">'OPCo STATEMENT AF'!#REF!</definedName>
    <definedName name="_xlnm.Print_Area" localSheetId="9">'OPCo STATEMENT AG'!#REF!</definedName>
    <definedName name="_xlnm.Print_Area" localSheetId="10">'WPCo STATEMENT AF'!#REF!</definedName>
    <definedName name="_xlnm.Print_Area" localSheetId="11">'WPCo STATEMENT AG'!#REF!</definedName>
    <definedName name="_xlnm.Print_Titles" localSheetId="0">'APCo STATEMENT AF'!$A:$B,'APCo STATEMENT AF'!#REF!</definedName>
    <definedName name="_xlnm.Print_Titles" localSheetId="1">'APCo STATEMENT AG'!$A:$B,'APCo STATEMENT AG'!#REF!</definedName>
    <definedName name="_xlnm.Print_Titles" localSheetId="2">'I &amp; M STATEMENT AF'!$A:$B,'I &amp; M STATEMENT AF'!#REF!</definedName>
    <definedName name="_xlnm.Print_Titles" localSheetId="3">'I &amp; M STATEMENT AG'!$A:$B,'I &amp; M STATEMENT AG'!#REF!</definedName>
    <definedName name="_xlnm.Print_Titles" localSheetId="6">'KGPCo STATEMENT AF'!$A:$B,'KGPCo STATEMENT AF'!#REF!</definedName>
    <definedName name="_xlnm.Print_Titles" localSheetId="7">'KGPCo STATEMENT AG'!$A:$B,'KGPCo STATEMENT AG'!#REF!</definedName>
    <definedName name="_xlnm.Print_Titles" localSheetId="4">'KPCo STATEMENT AF'!$A:$B,'KPCo STATEMENT AF'!#REF!</definedName>
    <definedName name="_xlnm.Print_Titles" localSheetId="5">'KPCo STATEMENT AG'!$A:$B,'KPCo STATEMENT AG'!#REF!</definedName>
    <definedName name="_xlnm.Print_Titles" localSheetId="8">'OPCo STATEMENT AF'!$A:$C,'OPCo STATEMENT AF'!#REF!</definedName>
    <definedName name="_xlnm.Print_Titles" localSheetId="9">'OPCo STATEMENT AG'!$A:$B,'OPCo STATEMENT AG'!#REF!</definedName>
    <definedName name="_xlnm.Print_Titles" localSheetId="10">'WPCo STATEMENT AF'!$A:$B,'WPCo STATEMENT AF'!#REF!</definedName>
    <definedName name="_xlnm.Print_Titles" localSheetId="11">'WPCo STATEMENT AG'!$A:$B,'WPCo STATEMENT AG'!#REF!</definedName>
  </definedNames>
  <calcPr fullCalcOnLoad="1"/>
</workbook>
</file>

<file path=xl/comments2.xml><?xml version="1.0" encoding="utf-8"?>
<comments xmlns="http://schemas.openxmlformats.org/spreadsheetml/2006/main">
  <authors>
    <author>Kathleen G Silcott</author>
    <author>Mike Kelly</author>
  </authors>
  <commentList>
    <comment ref="C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</t>
        </r>
      </text>
    </comment>
    <comment ref="M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</t>
        </r>
      </text>
    </comment>
  </commentList>
</comments>
</file>

<file path=xl/comments4.xml><?xml version="1.0" encoding="utf-8"?>
<comments xmlns="http://schemas.openxmlformats.org/spreadsheetml/2006/main">
  <authors>
    <author>Kathleen G Silcott</author>
    <author>Mike Kelly</author>
  </authors>
  <commentList>
    <comment ref="C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on Trans &amp; Gen; taxable losses on Dist &amp; Nuclear</t>
        </r>
      </text>
    </comment>
    <comment ref="P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  <comment ref="R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  <comment ref="V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  <comment ref="X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</commentList>
</comments>
</file>

<file path=xl/comments8.xml><?xml version="1.0" encoding="utf-8"?>
<comments xmlns="http://schemas.openxmlformats.org/spreadsheetml/2006/main">
  <authors>
    <author>Kathleen G Silcott</author>
    <author>Mike Kelly</author>
  </authors>
  <commentList>
    <comment ref="D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for Trans and Taxable loss for Dist</t>
        </r>
      </text>
    </comment>
    <comment ref="S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for Trans and Taxable loss for Dist</t>
        </r>
      </text>
    </comment>
  </commentList>
</comments>
</file>

<file path=xl/sharedStrings.xml><?xml version="1.0" encoding="utf-8"?>
<sst xmlns="http://schemas.openxmlformats.org/spreadsheetml/2006/main" count="1745" uniqueCount="721">
  <si>
    <t>APPALACHIAN POWER COMPANY</t>
  </si>
  <si>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</si>
  <si>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</si>
  <si>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</si>
  <si>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</si>
  <si>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</si>
  <si>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</si>
  <si>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</si>
  <si>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</si>
  <si>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</si>
  <si>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</si>
  <si>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</si>
  <si>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</si>
  <si>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</si>
  <si>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</si>
  <si>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</si>
  <si>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</si>
  <si>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</si>
  <si>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</si>
  <si>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</si>
  <si>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</si>
  <si>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</si>
  <si>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>FUNCTIONALIZATION 12/31/12</t>
  </si>
  <si>
    <t xml:space="preserve">ELECTRIC </t>
  </si>
  <si>
    <t>BALANCE AS</t>
  </si>
  <si>
    <t>UTILITY</t>
  </si>
  <si>
    <t>ACCUMULATED DEFERRED FIT ITEMS</t>
  </si>
  <si>
    <t>OF 12-31-12</t>
  </si>
  <si>
    <t>(B+C+D+E)/2</t>
  </si>
  <si>
    <t>GENERATION</t>
  </si>
  <si>
    <t>TRANSMISSION</t>
  </si>
  <si>
    <t>DISTRIBUTION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</si>
  <si>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</si>
  <si>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</si>
  <si>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</si>
  <si>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</si>
  <si>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</si>
  <si>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</si>
  <si>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</si>
  <si>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BOOK VS. TAX DEPRECIATION</t>
  </si>
  <si>
    <t>FERC ORDER 144 CATCH UP</t>
  </si>
  <si>
    <t xml:space="preserve">CAPD INTEREST-SECTION 481(a)-CHANGE IN METHD </t>
  </si>
  <si>
    <t>RELOCATION CST-SECTION 481(a)-CHANGE IN METHD</t>
  </si>
  <si>
    <t>PJM INTEGRATION-SEC 481(a)-INTANG-DFD LABOR</t>
  </si>
  <si>
    <t>R &amp; D DEDUCTION - SECTION 174</t>
  </si>
  <si>
    <t>BK PLANT IN SERVICE - SFAS 143 - ARO</t>
  </si>
  <si>
    <t>MNTR CARBON CAPTURE - SFAS 143 - ARO</t>
  </si>
  <si>
    <t>DFIT GENERATION PLANT</t>
  </si>
  <si>
    <t>GAIN/LOSS ON ACRS/MACRS PROPERTY</t>
  </si>
  <si>
    <t>GAIN/LOSS ON ACRS/MACRS BK/TX UNIT PROPERTY</t>
  </si>
  <si>
    <t>ABFUDC</t>
  </si>
  <si>
    <t>ABFUDC - TRANSMISSION</t>
  </si>
  <si>
    <t>ABFUDC - GENERAL</t>
  </si>
  <si>
    <t>ABFUDC - DISTRIBUTION</t>
  </si>
  <si>
    <t>TXS CAPD</t>
  </si>
  <si>
    <t>PENS CAPD</t>
  </si>
  <si>
    <t>SEC 481 PENS/OPEB ADJUSTMENT</t>
  </si>
  <si>
    <t>SAV PLAN CAPD</t>
  </si>
  <si>
    <t>PERCENT REPAIR ALLOWANCE</t>
  </si>
  <si>
    <t>BOOK/TAX UNIT OF PROPERTY ADJ</t>
  </si>
  <si>
    <t>BK/TAX UNIT OF PROPERTY ADJ-SEC 481 ADJ</t>
  </si>
  <si>
    <t>CAPITALIZED RELOCATION COSTS</t>
  </si>
  <si>
    <t>EXTRAORDINARY LOSS ON DISP OF PROP</t>
  </si>
  <si>
    <t>DEFD TAX GAIN - FIBER OPTIC LINE</t>
  </si>
  <si>
    <t>AMORT PERPETUAL TERM ELECT PLT</t>
  </si>
  <si>
    <t>CAPITALIZED LEASES - A/C 1011 ASSETS</t>
  </si>
  <si>
    <t>GAIN ON REACQUIRED DEBT</t>
  </si>
  <si>
    <t>REMOVAL COSTS</t>
  </si>
  <si>
    <t>REMOVAL COSTS - ARO-MTNR CARBON CAPTURE</t>
  </si>
  <si>
    <t>REMOVAL COSTS REV - SFAS 143 - ARO</t>
  </si>
  <si>
    <t>TAX WRITE OFF MINE DEVEL COSTS</t>
  </si>
  <si>
    <t>BK DEPLETION -- NUEAST</t>
  </si>
  <si>
    <t>2007 IRS AUDIT ADJUSTMENTS - A/C 282</t>
  </si>
  <si>
    <t>SFAS 109 FLOW-THRU 282.3</t>
  </si>
  <si>
    <t>SFAS 109 EXCESS DFIT 282.4</t>
  </si>
  <si>
    <t>TOTAL ACOUNT 282</t>
  </si>
  <si>
    <t>ACCOUNT 283:</t>
  </si>
  <si>
    <t xml:space="preserve"> </t>
  </si>
  <si>
    <t>NOL - STATE C/F - DEF STATE TAX ASSET - L/T</t>
  </si>
  <si>
    <t>SW - UNDER RECOVERY FUEL COST</t>
  </si>
  <si>
    <t>SV - UNDER RECOVERY FUEL COST</t>
  </si>
  <si>
    <t>WV -ENEC UNDER RECOVERY BANK</t>
  </si>
  <si>
    <t>DEFD EQUITY CARRY CHGS - WV-ENEC</t>
  </si>
  <si>
    <t>WV UNRECOV FUEL POOL CAPACITY IMPACT</t>
  </si>
  <si>
    <t>WV CENTURY ENEC UNDER RECOVERY</t>
  </si>
  <si>
    <t>PROPERTY TAX - NEW METHOD - BOOK</t>
  </si>
  <si>
    <t>MTM BK GAIN - A/L - TAX DEFL</t>
  </si>
  <si>
    <t>MARK &amp; SPREAD-DEFL-283-A/L</t>
  </si>
  <si>
    <t>ACCRUED BK PENSION EXPENSE</t>
  </si>
  <si>
    <t>ACCRUED BK PENSION COSTS - SFAS 158</t>
  </si>
  <si>
    <t>DEFD RTO EXPS &amp; CARRYING CHARGES</t>
  </si>
  <si>
    <t xml:space="preserve">DEFD ENVIRON COMP COSTS &amp; CARRYING CHARGES </t>
  </si>
  <si>
    <t>DEFD SYS RELIABILITY COSTS &amp; CARRYING CHARGES</t>
  </si>
  <si>
    <t>DEFD EQUITY CARRY CHRGS-RELIABILITY CAPITAL</t>
  </si>
  <si>
    <t>DEFD STORM DAMAGE</t>
  </si>
  <si>
    <t>RATE CASE DEFD CHGS</t>
  </si>
  <si>
    <t>BOOK &gt; TAX BASIS - EMA - A/C 283</t>
  </si>
  <si>
    <t>DEFD TX GAIN-INTERCO SALE-EMA</t>
  </si>
  <si>
    <t>DEFD TAX GAIN - EPA AUCTION</t>
  </si>
  <si>
    <t>BK DEFL - MACSS COSTS</t>
  </si>
  <si>
    <t>TRANSITION REGULATORY ASSETS</t>
  </si>
  <si>
    <t>REG ASSET - SFAS 143 - ARO</t>
  </si>
  <si>
    <t>REG ASSET - SFAS 158 - PENSIONS</t>
  </si>
  <si>
    <t>REG ASSET - SFAS 158 - SERP</t>
  </si>
  <si>
    <t>REG ASSET - SFAS 158 - OPEB</t>
  </si>
  <si>
    <t>REG ASSET - UNDERRECOVERY-VIRGINIA T-RAC</t>
  </si>
  <si>
    <t>REG ASSET - MOUNTAINEER CARBON CAPTURE</t>
  </si>
  <si>
    <t>REG ASSET - DEFERRED RPS COSTS</t>
  </si>
  <si>
    <t>REG ASSET - CARRYING CHARGES-WV ENEC</t>
  </si>
  <si>
    <t>TAX DEFL - NON-DEPRECIABLES</t>
  </si>
  <si>
    <t>REG ASSET-DEFD SEVERANCE COSTS</t>
  </si>
  <si>
    <t>REG ASSET-TRANS AGREEMENT PHASE-IN-WV</t>
  </si>
  <si>
    <t>REG ASSET-DEFD VA WIND REPLACEMENT CSTS</t>
  </si>
  <si>
    <t>REG ASSET-NET CCS FEED STUDY COSTS</t>
  </si>
  <si>
    <t>REG ASSET-DEFD VA DEMAND RESPONSE PROGRAM</t>
  </si>
  <si>
    <t>REG ASSET DRESDEN UNRECOG EQUITY CC WV</t>
  </si>
  <si>
    <t>REG ASSET DRESDEN OPERATION COST VA</t>
  </si>
  <si>
    <t>REG ASSET DRESDEN CARRYING COSTS VA</t>
  </si>
  <si>
    <t>REG ASSET DRESDEN UNRECOG EQUITY CC VA</t>
  </si>
  <si>
    <t>REG ASSET DRESDEN CARRYING COST WV</t>
  </si>
  <si>
    <t>REG ASSET DRESDEN OPERATING COSTS WV</t>
  </si>
  <si>
    <t>REG ASSET-DEFERRED VA RPS INCREM COSTS-CURRENT</t>
  </si>
  <si>
    <t>REG ASSET-DEFERRED VA WIND NON-INCREM COSTS</t>
  </si>
  <si>
    <t>REG ASSET-DEFD VA SOFTWARE LICENSING EXPENSE</t>
  </si>
  <si>
    <t>BOOK LEASES CAPITALIZED FOR TAX</t>
  </si>
  <si>
    <t>CAPITALIZED SOFTWARE COSTS - BOOK</t>
  </si>
  <si>
    <t>LOSS ON REACQUIRED DEBT</t>
  </si>
  <si>
    <t>DEFD SFAS 106 BOOK COSTS</t>
  </si>
  <si>
    <t>REG ASSET - ACCRUED SFAS 112</t>
  </si>
  <si>
    <t>STATE NOL CURRENT BENEFIT</t>
  </si>
  <si>
    <t>SFAS 109 FLOW-THRU 283.3</t>
  </si>
  <si>
    <t>SFAS 109 EXCESS DFIT 283.4</t>
  </si>
  <si>
    <t>ADIT FED - HEDGE-INTEREST RATE 2830015</t>
  </si>
  <si>
    <t>ADIT FED - HEDGE-FOREIGN EXC 2830016</t>
  </si>
  <si>
    <t>SFAS 133 ADIT FED - SFAS 133 NONAFFIL 2830006</t>
  </si>
  <si>
    <t>DEFD STATE INCOME TAXES</t>
  </si>
  <si>
    <t>SFAS 109 - DEFD STATE INCOME TAXES</t>
  </si>
  <si>
    <t>TOTAL ACCOUNT 283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</si>
  <si>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</si>
  <si>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</si>
  <si>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</si>
  <si>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</si>
  <si>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</si>
  <si>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SEC ALLOC - ITC - 46F1 - 10%</t>
  </si>
  <si>
    <t xml:space="preserve">HYDRO CREDIT - ITC - 46F1 </t>
  </si>
  <si>
    <t>TOTAL ACCOUNT 255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</si>
  <si>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</si>
  <si>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</si>
  <si>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</si>
  <si>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</si>
  <si>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</si>
  <si>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 xml:space="preserve">CIAC-BOOK RECEIPTS </t>
  </si>
  <si>
    <t>CIAC-BOOK RECEIPTS - DISTR - SV</t>
  </si>
  <si>
    <t>CIAC-BOOK RECEIPTS - TRANS</t>
  </si>
  <si>
    <t>CIAC-BOOK RECEIPTS - DISTR - SW</t>
  </si>
  <si>
    <t>CIAC - MUSSER ACQUISITION</t>
  </si>
  <si>
    <t>SW - OVER RECOVERY FUEL COSTS</t>
  </si>
  <si>
    <t>SV - OVER RECOVERY FUEL COSTS</t>
  </si>
  <si>
    <t>PROVS POSS REV REFDS</t>
  </si>
  <si>
    <t>SALE/LEASE - GRUNDY</t>
  </si>
  <si>
    <t>MTM BK LOSS - A/L - TAX DEFL</t>
  </si>
  <si>
    <t>MARK &amp; SPREAD-DEFL-190-A/L</t>
  </si>
  <si>
    <t>PROV WORKERS COMP</t>
  </si>
  <si>
    <t>SUPPLEMENTAL EXECUTIVE RETIRE PLAN</t>
  </si>
  <si>
    <t>ACCD SUP EXEC RETIR PLAN COSTS-SFAS 158</t>
  </si>
  <si>
    <t>ACCRD BK SUP. SAVINGS PLAN EXP</t>
  </si>
  <si>
    <t>EMPLOYER SAVINGS PLAN MATCH</t>
  </si>
  <si>
    <t>ACCRUED PSI PLAN EXP</t>
  </si>
  <si>
    <t>BK PROV UNCOLL ACCTS</t>
  </si>
  <si>
    <t>PROV - TRADING CREDIT RISK - A/L</t>
  </si>
  <si>
    <t>PROV - FAS 157 - A/L</t>
  </si>
  <si>
    <t>ACCRD COMPANYWIDE INCENTV PLAN</t>
  </si>
  <si>
    <t>ACCRUED ENVIRONMENTAL LIAB-CURRENT</t>
  </si>
  <si>
    <t>ACCRUED BOOK VACATION PAY</t>
  </si>
  <si>
    <t>ACCRUED MGMT INCENTIVE BONUS</t>
  </si>
  <si>
    <t>ACCRUED BK SEVERANCE BENEFITS</t>
  </si>
  <si>
    <t>ACCRUED INTEREST EXPENSE - STATE</t>
  </si>
  <si>
    <t>ACCRUED INTEREST-LONG-TERM - FIN 48</t>
  </si>
  <si>
    <t>ACCRUED INTEREST-SHORT-TERM - FIN 48</t>
  </si>
  <si>
    <t>ACCRUED STATE INCOME TAX EXPENSE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</si>
  <si>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</si>
  <si>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</si>
  <si>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</si>
  <si>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</si>
  <si>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</si>
  <si>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</si>
  <si>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</si>
  <si>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</si>
  <si>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</si>
  <si>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FK BK WRITE-OFF BLUE RIDGE EASE</t>
  </si>
  <si>
    <t>FR BK WRITE-OFF BLUE RIDGE EASE</t>
  </si>
  <si>
    <t>SV BK WRITE-OFF BLUE RIDGE EASE</t>
  </si>
  <si>
    <t>CV BK WRITE-OFF BLUE RIDGE EASE</t>
  </si>
  <si>
    <t>DEFD TX LOSS-INTERCO SALE-EMA</t>
  </si>
  <si>
    <t>DEFD BOOK GAIN - EPA AUCTION</t>
  </si>
  <si>
    <t>ADVANCE RENTAL INC (CUR MO)</t>
  </si>
  <si>
    <t>DEFERRED BOOK RENTS</t>
  </si>
  <si>
    <t>REG - LIAB - UNREAL MTM GAIN - DEFL</t>
  </si>
  <si>
    <t>REG ASSET/LIAB-CENTURY ALUMINUM</t>
  </si>
  <si>
    <t>CAPITALIZED SOFTWARE COSTS - TAX</t>
  </si>
  <si>
    <t>CAPITALIZED ADVERTISING EXP - TAX</t>
  </si>
  <si>
    <t>ACCRD SFAS 106 PST RETIRE EXP</t>
  </si>
  <si>
    <t>SFAS 106 PST RETIRE EXP - NON-DEDUCT CONT</t>
  </si>
  <si>
    <t>ACCRD OPEB COSTS - SFAS 158</t>
  </si>
  <si>
    <t>ACCRD SFAS 112 EMPLOY BEN</t>
  </si>
  <si>
    <t>ACCRD BOOK ARO EXPENSE-SFAS 143</t>
  </si>
  <si>
    <t>SFAS 106 - MEDICARE SUBSIDY-NORM-(PPACA)</t>
  </si>
  <si>
    <t>ACCRD BK ARO EXP-MTNR CARBON CAPTURE</t>
  </si>
  <si>
    <t>ACCRUED BK REMOVAL COST - ACRS</t>
  </si>
  <si>
    <t>FIN 48 - DEFD STATE INCOME TAXES</t>
  </si>
  <si>
    <t>ACCRD SIT/FRANCHISE TAX RESERVE</t>
  </si>
  <si>
    <t>ACCRUED SALES &amp; USE TAX RESERVE</t>
  </si>
  <si>
    <t>ACCRD SIT TX RES-LNG-TERM-FIN 48</t>
  </si>
  <si>
    <t>ACCRD SIT TX RES-SHORT-TERM-FIN 48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</si>
  <si>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</si>
  <si>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</si>
  <si>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</si>
  <si>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</si>
  <si>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</si>
  <si>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</si>
  <si>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AMT CREDIT DEFERRED</t>
  </si>
  <si>
    <t>SFAS 109 FLOW-THRU 190.3</t>
  </si>
  <si>
    <t>SFAS 109 EXCESS DFIT 190.4</t>
  </si>
  <si>
    <t>SFAS 133 ADIT FED - SFAS NONAFFIL 1900006</t>
  </si>
  <si>
    <t>ADIT FED - PENSION OCI NAF 1900009</t>
  </si>
  <si>
    <t>ADIT FED - HEDGE-INTEREST RATE 1900015</t>
  </si>
  <si>
    <t>ADIT FED - HEDGE-FOREIGN EXC 1900016</t>
  </si>
  <si>
    <t>DEFERRED SIT  1901002</t>
  </si>
  <si>
    <t>TOTAL ACCOUNT 190</t>
  </si>
  <si>
    <t>INDIANA MICHIGAN POWER COMPANY</t>
  </si>
  <si>
    <t>COLUMN P</t>
  </si>
  <si>
    <t>COLUMN Q</t>
  </si>
  <si>
    <t>COLUMN R</t>
  </si>
  <si>
    <t>COLUMN S</t>
  </si>
  <si>
    <t>COLUMN T</t>
  </si>
  <si>
    <t>COLUMN U</t>
  </si>
  <si>
    <t>NUCLEAR</t>
  </si>
  <si>
    <t>RTD</t>
  </si>
  <si>
    <t>EX L/T DFIT TX RESRV-SNF</t>
  </si>
  <si>
    <t>FERC - MPCO DEFD FIT @ MERGER</t>
  </si>
  <si>
    <t>FIT % RATE CHANGE-LD</t>
  </si>
  <si>
    <t>BK VS TAX DEPR</t>
  </si>
  <si>
    <t>SEC 481 - LEAD/LAG TAX DEPREC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</si>
  <si>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</si>
  <si>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</si>
  <si>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</si>
  <si>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</si>
  <si>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</si>
  <si>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ABFUDC-NUCLEAR FUEL</t>
  </si>
  <si>
    <t>ABFUDC - ROCKPORT SPARE PARTS</t>
  </si>
  <si>
    <t>ABFUDC-RKPRT-SULL EHV</t>
  </si>
  <si>
    <t>ABFUDC - ROCKPORT UNIT 1</t>
  </si>
  <si>
    <t>ABFUDC - ROCKPORT UNIT 2</t>
  </si>
  <si>
    <t>ABFUDC- RKPRT-JEFF EHV</t>
  </si>
  <si>
    <t>ABFUDC-RKPRT PC U1</t>
  </si>
  <si>
    <t>ABFUDC - COOK PLANT/U2 STEAM GNR</t>
  </si>
  <si>
    <t>INVOL CONV RKPT U1-TURBINE</t>
  </si>
  <si>
    <t>INVOL CONV RKPT U1-ASH HOPPER</t>
  </si>
  <si>
    <t>TAXES CAPITALIZED</t>
  </si>
  <si>
    <t>TAXES CAPITALIZED-ROCKPORT SPARE PARTS</t>
  </si>
  <si>
    <t>TAXES CAPITALIZED-RKPRT-SULL EHV</t>
  </si>
  <si>
    <t>TAXES CAPITALIZED - ROCKPORT UNIT 1</t>
  </si>
  <si>
    <t>TAXES CAPITALIZED - ROCKPORT UNIT 2</t>
  </si>
  <si>
    <t>TAXES CAPITALIZED-RKPRT-JEFF EHV</t>
  </si>
  <si>
    <t>PENSIONS CAPITALIZED</t>
  </si>
  <si>
    <t>PENSIONS CAPITALIZED-RKPRT-SULL EHV</t>
  </si>
  <si>
    <t>PENSIONS CAPITALIZED-ROCKPORT SPARE PARTS</t>
  </si>
  <si>
    <t>PENSIONS CAPITALIZED - ROCKPORT UNIT 1</t>
  </si>
  <si>
    <t>PENSIONS CAPITALIZED - RKPRT-JEFF EHV</t>
  </si>
  <si>
    <t>SAVINGS PLAN CAPITALIZED</t>
  </si>
  <si>
    <t>SAVINGS PLAN CAPITALIZED-RKPRT-SULL EHV</t>
  </si>
  <si>
    <t>SAVINGS PLAN CAPITALIZED-RKPT SPARE PARTS</t>
  </si>
  <si>
    <t>SAVINGS PLAN CAPITALIZED - ROCKPORT UNIT1</t>
  </si>
  <si>
    <t>SAVINGS PLAN CAPITALIZED - RKPRT-JEFF EHV</t>
  </si>
  <si>
    <t>CIAC - BK RECEIPTS - STEEL DYNAMICS</t>
  </si>
  <si>
    <t>INT EXP CAPD BK - THI SETTLE</t>
  </si>
  <si>
    <t>DEFD TX GAIN RKPRT LAND ABFUDC</t>
  </si>
  <si>
    <t>DEFD TX GAIN RKPRT LAND O/H</t>
  </si>
  <si>
    <t>GAIN ON DEFERRED DEBT</t>
  </si>
  <si>
    <t>REMOVAL COSTS-COOK U2 STM GNR</t>
  </si>
  <si>
    <t>REMOVAL COSTS-COOK U1 STM GNR</t>
  </si>
  <si>
    <t>SI-UNRECD FUEL CSTS (CUR MO)</t>
  </si>
  <si>
    <t>SM-UNRECD FUEL CSTS</t>
  </si>
  <si>
    <t>UNRECD FUEL-3 RIVERS-PRE-MERGE</t>
  </si>
  <si>
    <t>UNRECD FUEL INTEREST</t>
  </si>
  <si>
    <t>PROP TX-RKPT SPARES-WVA-TAX</t>
  </si>
  <si>
    <t>PROP TAX-RKPT U2-OLD METHOD TX</t>
  </si>
  <si>
    <t>MARK &amp; SPREAD - DEFL - 283 A/L</t>
  </si>
  <si>
    <t>REG ASSET - UNREAL LOSS FWD CMMT</t>
  </si>
  <si>
    <t>DEFD ENVIRON COMP COSTS &amp; CARRYING CHARGES</t>
  </si>
  <si>
    <t>REG ASSET - DEFERRED RTO COSTS</t>
  </si>
  <si>
    <t>FRT WAYNE CITY LGTS-RIGHT TO SERVE SETTLE</t>
  </si>
  <si>
    <t>RATE CASE DEFERRED CHARGES</t>
  </si>
  <si>
    <t>BK DEFL-DEMAND SIDE MNGMT EXP</t>
  </si>
  <si>
    <t>SM-OVER RECOVD RCS COSTS-DEFL</t>
  </si>
  <si>
    <t>BOOK &gt; TAX - EMA - A/C 283</t>
  </si>
  <si>
    <t>DEFD TX GAIN - INTERCO SALE - EMA</t>
  </si>
  <si>
    <t>REG ASSET-DEFD CARRY COST ON STRANDED COST</t>
  </si>
  <si>
    <t>REG ASSET - DEFERRED PJM FEES</t>
  </si>
  <si>
    <t>REG ASSET-ENVIRON COMPLIANCE CARRY COSTS</t>
  </si>
  <si>
    <t>REG ASSET-OSS MARGIN SHARING</t>
  </si>
  <si>
    <t>REG ASSET - UNDERRECOVERY PJM EXPENSES</t>
  </si>
  <si>
    <t>REG ASSET-NSR CONSENT DECREE</t>
  </si>
  <si>
    <t>REG ASSET-UND/REC-CCT RIDER CAR CHGS</t>
  </si>
  <si>
    <t>REG ASSET - UNDERRECOVERY-DSM ENERGY OPT</t>
  </si>
  <si>
    <t>REG ASSET-UND/REC-CCTR PST APP ADD CAR CHGS</t>
  </si>
  <si>
    <t>REG ASSET-UND/REC-DEFD NUC DECOM STUDY CSTS</t>
  </si>
  <si>
    <t>REG ASSET-ENHNCD COOK PLT SECURITY COSTS</t>
  </si>
  <si>
    <t>REG ASSET-DEFD COOK TURBINE REPL/COSTS-MI</t>
  </si>
  <si>
    <t>REG ASSET-TURBINE REPL UNRECOG EQ CC</t>
  </si>
  <si>
    <t>REG ASSET-DEFD TURBINE REPLACE EXP CC</t>
  </si>
  <si>
    <t>TAX DEFL - DEBT ISSUE COSTS</t>
  </si>
  <si>
    <t>CAPITALIZED SOFTWARE COST - BOOK</t>
  </si>
  <si>
    <t>U1 TX DEPR NUC FUEL</t>
  </si>
  <si>
    <t>AMORT OF NUCLEAR FUEL - UNIT 1</t>
  </si>
  <si>
    <t>U2 TX DEPR NUC FUEL</t>
  </si>
  <si>
    <t>AMORT OF NUCLEAR FUEL - UNIT 2</t>
  </si>
  <si>
    <t>NUC DECOM TRUST-SFAS 143-ARO-BK</t>
  </si>
  <si>
    <t>U1-BK DEFD NUC REFUEL COSTS</t>
  </si>
  <si>
    <t>U2-BK DEFD NUC REFUEL COSTS</t>
  </si>
  <si>
    <t>BK DEFD COOK RESTART COSTS</t>
  </si>
  <si>
    <t>REG ASSET - REACQ DEBT-RKPT U2</t>
  </si>
  <si>
    <t>POST RETIREMENT BEN - PAYMENT</t>
  </si>
  <si>
    <t>DEFD EARN-POST RETIRE BEN PYMT</t>
  </si>
  <si>
    <t>SFAS 106 PST RETIREMENT EXP - NON-DEDUCT CONT</t>
  </si>
  <si>
    <t>IND GROSS REC TAX-A/C 283-CUR</t>
  </si>
  <si>
    <t>BK DEFL - MERGER COSTS</t>
  </si>
  <si>
    <t xml:space="preserve">IRS AUDIT SETTLEMENTS </t>
  </si>
  <si>
    <t>ADIT FED HDG CF INT RATE 2830015</t>
  </si>
  <si>
    <t>DEFERRED ITC - 46(F)(1)</t>
  </si>
  <si>
    <t>NOL &amp; TAX CREDIT C/F-DEF TAX ASSET</t>
  </si>
  <si>
    <t>INT EXP CAPD - COOK U2 STEAM</t>
  </si>
  <si>
    <t>TXBL INT INC CAP FOR NK-BFSHAW</t>
  </si>
  <si>
    <t>INT EXP CAPD TAX - RKPT SPARES</t>
  </si>
  <si>
    <t>CIAC - BOOK RECEIPTS</t>
  </si>
  <si>
    <t>CUST ADV INC FOR TAX</t>
  </si>
  <si>
    <t>PROPERTY TAX-NEW METHOD-BOOK</t>
  </si>
  <si>
    <t>PROV FOR REFUND - FERC TRANS</t>
  </si>
  <si>
    <t>PROVS POSS REV REFD- FR</t>
  </si>
  <si>
    <t>DEFD BK GAIN-RKPT S SALE/LEASE</t>
  </si>
  <si>
    <t>MARK &amp; SPREAD - DEFL - 190 A/L</t>
  </si>
  <si>
    <t>PROV POSS PEN PYMTS</t>
  </si>
  <si>
    <t>ACCRUED BK PENSION COST - SFAS 158</t>
  </si>
  <si>
    <t>SUPPLEMENTAL EXECUTIVE RETIREMENT PLAN</t>
  </si>
  <si>
    <t>ACCRD SUP EXEC RETIRE PLAN COSTS - SFAS 158</t>
  </si>
  <si>
    <t>ACCRD BK SUP. SAVINGS PL</t>
  </si>
  <si>
    <t>EMPLOYERS SAVINGS PLAN MATCH</t>
  </si>
  <si>
    <t xml:space="preserve">ACCRUED BK BENEFIT COSTS </t>
  </si>
  <si>
    <t>PROVISION FOR LITIGATION</t>
  </si>
  <si>
    <t>ACCRD ENVIRONMENTAL LIAB - CURRENT</t>
  </si>
  <si>
    <t>ACCRD ENVIRONMENTAL LIAB - LONG-TERM</t>
  </si>
  <si>
    <t>ACCRUED LEASE LIABILITY - FORT WAYNE</t>
  </si>
  <si>
    <t>ACCRD SEMCO ENVIRON REMEDIATION CSTS</t>
  </si>
  <si>
    <t>ACCRUED BK SEI EMP BENEFIT COSTS</t>
  </si>
  <si>
    <t>ACCRUED BK SEVERANCE BENEFIT</t>
  </si>
  <si>
    <t>FRT WAYNE CITY LGTS SETTLEMENT</t>
  </si>
  <si>
    <t>ACCRUED INTEREST - LONG TERM - FIN 48</t>
  </si>
  <si>
    <t>ACCRUED INTEREST - SHORT TERM - FIN 48</t>
  </si>
  <si>
    <t>STATE MITIGATION PROGRAMS</t>
  </si>
  <si>
    <t>TAX&gt;BOOK BASIS-EMA-A/C-190</t>
  </si>
  <si>
    <t>DEFD BK GAIN-NON-AFF SALE-EMA</t>
  </si>
  <si>
    <t>DEFD BK LOSS-NON-AFF SALE-EMA</t>
  </si>
  <si>
    <t>DEFD TAX LOSS-INTERCO SALE-EMA</t>
  </si>
  <si>
    <t>REG LIAB - UNREAL MTM GAIN - DEFL</t>
  </si>
  <si>
    <t>REG LIAB - SFAS 143-ARO</t>
  </si>
  <si>
    <t>INSTALL ALLOWANCES CAPD - TAX</t>
  </si>
  <si>
    <t>SM-DEFD PRE 4 7 83 DISP COSTS</t>
  </si>
  <si>
    <t>SI-DEFD PRE 4 7 83 DISP COSTS</t>
  </si>
  <si>
    <t>FR-DEFD PRE 4 7 83 DISP COSTS</t>
  </si>
  <si>
    <t>TC-DEFD PRE 4 7 83 DISP</t>
  </si>
  <si>
    <t>AMORT SNF DISPOSAL CONTAINER COSTS</t>
  </si>
  <si>
    <t>FR-AMORT INT PRE 4 7 83 DISP</t>
  </si>
  <si>
    <t>SI-AMORT INT PRE 4 7 83 DISP</t>
  </si>
  <si>
    <t>SM-AMORT INT PRE 4 7 83 DISP</t>
  </si>
  <si>
    <t>TC-ACC INT PRE 4 7 83 DISP CST</t>
  </si>
  <si>
    <t>BK EXP NUC FUEL DECONTAM FUND</t>
  </si>
  <si>
    <t>SM-ACC NQ NUC DECOM EXP - RATES</t>
  </si>
  <si>
    <t>SI-ACC NQ NUC DECOM EXP - RATES</t>
  </si>
  <si>
    <t>FR-ACC NQ NUC DECOM EXP - RATES</t>
  </si>
  <si>
    <t>SM-ACC NQ NUC DCM EXP-NQ TR INC</t>
  </si>
  <si>
    <t>SI-ACC NQ NUC DCM EXP-NQ TR INC</t>
  </si>
  <si>
    <t>FR-ACC NQ NUC DCM EXP-NQ TR INC</t>
  </si>
  <si>
    <t>BK DEFL - GAIN REACQUIRED DEBT</t>
  </si>
  <si>
    <t>ACCRD SFAS 112 PST EMPLY BEN</t>
  </si>
  <si>
    <t>BK PROV-W/O DEFD SFAS 106 BAL</t>
  </si>
  <si>
    <t>AMORT STEP-UP ITC TO TI-RKPT 2</t>
  </si>
  <si>
    <t xml:space="preserve">ACCRD SIT TX RES - LONG TERM - FIN 48 </t>
  </si>
  <si>
    <t xml:space="preserve">ACCRD SIT TX RES - SHORT TERM - FIN 48 </t>
  </si>
  <si>
    <t>CAPITALIZED COOK COSTS - TAX</t>
  </si>
  <si>
    <t>1977-1980 IRS AUDIT SETTLEMENT</t>
  </si>
  <si>
    <t>1981-1982 IRS AUDIT SETTLEMENT</t>
  </si>
  <si>
    <t>1988-1990 IRS AUDIT SETTLEMENT</t>
  </si>
  <si>
    <t>1997-1999 IRS AUDIT SETTLEMENT</t>
  </si>
  <si>
    <t>2000-2003 IRS AUDIT SETTLEMENT</t>
  </si>
  <si>
    <t>DEFD FIT - CAPITAL LOSS CFWD</t>
  </si>
  <si>
    <t xml:space="preserve">DEFD STATE INCOME TAXES  </t>
  </si>
  <si>
    <t xml:space="preserve">DEFD STATE INCOME TAXES - FIN 48 </t>
  </si>
  <si>
    <t>ADIT FED HDG CF INT RATE 1900015</t>
  </si>
  <si>
    <t>NON-UTILITY DEFERRED SIT  1902002</t>
  </si>
  <si>
    <t>KENTUCKY POWER COMPANY</t>
  </si>
  <si>
    <t>NON-UTILITY DEFERRED FIT 281.2</t>
  </si>
  <si>
    <t>EXCESS FIT % RATE CHANGE</t>
  </si>
  <si>
    <t>EX L/T DFIT TX RESERVE - 1986 TRA</t>
  </si>
  <si>
    <t>CAPD INTEREST-SECTION 481(a)-CHANGE IN METHOD</t>
  </si>
  <si>
    <t>RELOCATION CST-SECTION 481(a)-CHANGE IN METHOD</t>
  </si>
  <si>
    <t>PJM INTEGRATION-SECTION 481(a)-INTANG-DFD LABOR</t>
  </si>
  <si>
    <t>R &amp; D DEDUCTION SECTION 174</t>
  </si>
  <si>
    <t xml:space="preserve">ACRS  NORM-HRJ </t>
  </si>
  <si>
    <t>GAIN/LOSS ON ACRS/MACRS-BK/TX UNIT PROPERTY</t>
  </si>
  <si>
    <t>ABFUDC- HRJ POST IN-SERVICE</t>
  </si>
  <si>
    <t>ABFUDC-HRJ</t>
  </si>
  <si>
    <t>DEFD FUEL CUR SETUP - A/C 283</t>
  </si>
  <si>
    <t>DEFD FUEL ACC REVS A/C 283</t>
  </si>
  <si>
    <t>DEFD FUEL REG ADJ A/C 283</t>
  </si>
  <si>
    <t>BOOK PROV UNCOLL ACCTS</t>
  </si>
  <si>
    <t>BOOK DEFL - DEMAND SIDE MNGMT EXP</t>
  </si>
  <si>
    <t>BOOK &gt; TAX BASIS - EMA-A/C283</t>
  </si>
  <si>
    <t>REG ASSET-SFAS 158 - PENSIONS</t>
  </si>
  <si>
    <t>REG ASSET-SFAS 158 - SERP</t>
  </si>
  <si>
    <t>REG ASSET-SFAS 158 - OPEB</t>
  </si>
  <si>
    <t>NON-UTILITY DEFERRED FIT 283.2</t>
  </si>
  <si>
    <t>ADIT - FED-HDG-CF-INT RATE 2830015</t>
  </si>
  <si>
    <t xml:space="preserve">SFAS 109 - DEFD STATE INCOME TAXES </t>
  </si>
  <si>
    <t>DEFD FUEL EXP-CUR DEFL SET UP</t>
  </si>
  <si>
    <t>DEFD FUEL ADJ-ACCRD UTIL REVS</t>
  </si>
  <si>
    <t>DEFD FUEL ADJ-REG</t>
  </si>
  <si>
    <t>PROV POSS REV REFDS</t>
  </si>
  <si>
    <t>MTM BK LOSS-A/L-TAX DEFL</t>
  </si>
  <si>
    <t>ACCRD SUP EXEC RETIR PLAN COSTS-SFAS 158</t>
  </si>
  <si>
    <t>ACCRUED BOOK SEVERANCE BENEFITS</t>
  </si>
  <si>
    <t>ACCRUED INTEREST - LONG-TERM-FIN48</t>
  </si>
  <si>
    <t>ACCRUED INTEREST  SHORT-TERM-FIN48</t>
  </si>
  <si>
    <t>ACCRUED STATE INCOME TAX EXP</t>
  </si>
  <si>
    <t>DEFERRED STORM DAMAGE</t>
  </si>
  <si>
    <t>REG LIAB-UNREAL MTM GAIN-DEFL</t>
  </si>
  <si>
    <t>SFAS 106 PST RETIRE EXP- NON-DEDUCT CONT</t>
  </si>
  <si>
    <t>ACCRD SFAS 112 PST EMPLOY BEN</t>
  </si>
  <si>
    <t>ACCRD BOOK ARO EXPENSE - SFAS 143</t>
  </si>
  <si>
    <t>FIN 48 DSIT</t>
  </si>
  <si>
    <t xml:space="preserve">ACCRD SALES &amp; USE TAX RESERVE </t>
  </si>
  <si>
    <t>ACCRD SIT TX RESERVE - LNG-TERM-FIN 48</t>
  </si>
  <si>
    <t>ACCRD SIT TX RESERVE - SHRT-TERM-FIN 48</t>
  </si>
  <si>
    <t>AMT CREDIT - DEFERRED</t>
  </si>
  <si>
    <t>ADIT-FED-HDG-CF-INT RATE1900015</t>
  </si>
  <si>
    <t>KINGSPORT POWER COMPANY</t>
  </si>
  <si>
    <t>BOOK VS TAX DEPRECIATION</t>
  </si>
  <si>
    <t xml:space="preserve">CAPD INTEREST-SECTION 481 (a)-CHG IN METHOD </t>
  </si>
  <si>
    <t xml:space="preserve">RELOCATION COST-SECTION 481 (a) </t>
  </si>
  <si>
    <t>DEFD RTO EXPENSES</t>
  </si>
  <si>
    <t>REG ASSET - SFAS 158 OPEB</t>
  </si>
  <si>
    <t>PROVS POSS REV REFDS-A/L</t>
  </si>
  <si>
    <t>ACCRD SIT TX RES-SHRT-TERM-FIN 48</t>
  </si>
  <si>
    <t>AMT CREDIT-DEFERRED</t>
  </si>
  <si>
    <t>OHIO POWER COMPANY</t>
  </si>
  <si>
    <t>LINE</t>
  </si>
  <si>
    <t>NO.</t>
  </si>
  <si>
    <t>COOK COAL</t>
  </si>
  <si>
    <t>533A</t>
  </si>
  <si>
    <t>TAX AMORT POLLUTION CONTROL EQPT</t>
  </si>
  <si>
    <t>533C</t>
  </si>
  <si>
    <t>TAX ACCEL AMORT-GAVIN SCRUBBER</t>
  </si>
  <si>
    <t>003H</t>
  </si>
  <si>
    <t>230E</t>
  </si>
  <si>
    <t>230I</t>
  </si>
  <si>
    <t>CAPD INTEREST SECTION 481(a) - CHANGE IN METHOD</t>
  </si>
  <si>
    <t>230J</t>
  </si>
  <si>
    <t>RELOCATION COST - SECTION 481(a) - CHANGE</t>
  </si>
  <si>
    <t>230K</t>
  </si>
  <si>
    <t>PJM INTEGRATION - SEC 481(a) - INTANG DFD LABOR</t>
  </si>
  <si>
    <t>232Q</t>
  </si>
  <si>
    <t>GYPSUM WALLBOARD CONVEYOR</t>
  </si>
  <si>
    <t>280H</t>
  </si>
  <si>
    <t>280Z</t>
  </si>
  <si>
    <t>DFIT-GENERATION PLANT</t>
  </si>
  <si>
    <t>295A</t>
  </si>
  <si>
    <t>GAIN/LOSS ON ACRS/MACRS-BK/TX UNIT OF PROPERTY</t>
  </si>
  <si>
    <t>310A</t>
  </si>
  <si>
    <t>AOFUDC</t>
  </si>
  <si>
    <t>320A</t>
  </si>
  <si>
    <t>ABFUDC-C&amp;SOE GROSS METHOD(FR&amp;SO)</t>
  </si>
  <si>
    <t>ABFUDC - SMART HOUSE - LAND</t>
  </si>
  <si>
    <t>350A</t>
  </si>
  <si>
    <t>360A</t>
  </si>
  <si>
    <t>360J</t>
  </si>
  <si>
    <t>370A</t>
  </si>
  <si>
    <t>532A</t>
  </si>
  <si>
    <t>BK/TAX GAIN-SALE OF MISC PROP</t>
  </si>
  <si>
    <t>BK VS. TAX GAIN/LOSS - SPORN UNIT 5</t>
  </si>
  <si>
    <t>534A</t>
  </si>
  <si>
    <t>910A</t>
  </si>
  <si>
    <t>910K</t>
  </si>
  <si>
    <t>REMOVAL CST</t>
  </si>
  <si>
    <t>910W</t>
  </si>
  <si>
    <t>REMOVAL COSTS REV-SFAS 143-ARO</t>
  </si>
  <si>
    <t>FERC JMG ADJUSTMENT</t>
  </si>
  <si>
    <t>380V</t>
  </si>
  <si>
    <t>DEFD FUEL EXPENSE-CURRENT DEFERRAL SET-UP</t>
  </si>
  <si>
    <t>DEFD FUEL EXPENSE-OH FAC-CURRENT</t>
  </si>
  <si>
    <t>CAPD CARRY CHRG-DEFD OH DEREG</t>
  </si>
  <si>
    <t>FAC PROV-CONTRA ASSET-OH</t>
  </si>
  <si>
    <t>CARRYING CHARGES-OHIO FUEL ADJUSTMENT CLAUSE</t>
  </si>
  <si>
    <t>CARRYING CHARGES-OHIO FUEL ADJ CLAUSE-CURRENT</t>
  </si>
  <si>
    <t>DEFERRED TAX GAIN-DIVIDEND OF PARKING GARAGE</t>
  </si>
  <si>
    <t>OH UNRECOV FUEL COST RESERVE</t>
  </si>
  <si>
    <t>510I</t>
  </si>
  <si>
    <t>PROP TAX-STATE 2-OLD METHOD-TX</t>
  </si>
  <si>
    <t>DEFD TAX GAIN - DIVIDEND OF PARK GARAGE</t>
  </si>
  <si>
    <t>575E</t>
  </si>
  <si>
    <t>576E</t>
  </si>
  <si>
    <t>605B</t>
  </si>
  <si>
    <t>605C</t>
  </si>
  <si>
    <t>615R</t>
  </si>
  <si>
    <t>REG ASSET - DEFD RTO COSTS</t>
  </si>
  <si>
    <t>CCD BILL - PREPAID PENSIONS - DEFERRAL</t>
  </si>
  <si>
    <t>630M</t>
  </si>
  <si>
    <t>DEFERRED EXPENSES</t>
  </si>
  <si>
    <t>RATE CASE DEFD CHARGES</t>
  </si>
  <si>
    <t>BK DEFERRAL-DEMAND SIDE MANAGEMENT EXPENSES</t>
  </si>
  <si>
    <t>632Y</t>
  </si>
  <si>
    <t>BK DEFL-COOK COAL T LEASE CSTS</t>
  </si>
  <si>
    <t>PILOT OBLIGATIONS - PLANT ACQUISITIONS</t>
  </si>
  <si>
    <t>637C</t>
  </si>
  <si>
    <t>BK INVEST-AEPC IN-KIND SERVICES</t>
  </si>
  <si>
    <t>638A</t>
  </si>
  <si>
    <t>639C</t>
  </si>
  <si>
    <t>DEFD BK LOSS - NON-AFF SALE - EMA</t>
  </si>
  <si>
    <t>639Q</t>
  </si>
  <si>
    <t>640K</t>
  </si>
  <si>
    <t>640M</t>
  </si>
  <si>
    <t>DEFD BOOK GAIN-EPA AUCTION</t>
  </si>
  <si>
    <t>660O</t>
  </si>
  <si>
    <t>REG LIAB - UNUSED SHOPPING INCENTIVES</t>
  </si>
  <si>
    <t>660S</t>
  </si>
  <si>
    <t>REG ASSET - DEFD RSP FILING COSTS</t>
  </si>
  <si>
    <t>660T</t>
  </si>
  <si>
    <t>REG ASSET - EXT OF LOCAL FACILITIES</t>
  </si>
  <si>
    <t>660V</t>
  </si>
  <si>
    <t>REG ASSET - DEFD DEREG CARRY CHARGE COSTS</t>
  </si>
  <si>
    <t>REG ASSET - UNDERRECOVERY-OHIO TCR RIDER</t>
  </si>
  <si>
    <t>REG ASSET - CARRY CHGS OHIO TCR RIDER</t>
  </si>
  <si>
    <t>661P</t>
  </si>
  <si>
    <t>REG ASSET - OHIO STORM RECOVERY</t>
  </si>
  <si>
    <t>661R</t>
  </si>
  <si>
    <t>REG ASSET - SFAS 158-PENSIONS</t>
  </si>
  <si>
    <t>661S</t>
  </si>
  <si>
    <t>REG ASSET - SFAS 158-SERP</t>
  </si>
  <si>
    <t>661T</t>
  </si>
  <si>
    <t>REG ASSET - SFAS 158-OPEB</t>
  </si>
  <si>
    <t>REG ASSET - UNDERRECOVERY ESRP COSTS-OH</t>
  </si>
  <si>
    <t>REG ASSET - EDR - ORMET CARRYING COSTS</t>
  </si>
  <si>
    <t xml:space="preserve">REG ASSET - EDR - ORMET </t>
  </si>
  <si>
    <t>REG ASSET - EDR - EXCESS EDR CAP DEFERRAL</t>
  </si>
  <si>
    <t>REG ASSET - EXCESS EDR CAP DEF-CAR COSTS</t>
  </si>
  <si>
    <t>REG ASSET-DARR-UNRECOGNIZED EQUITY CARRY CHG</t>
  </si>
  <si>
    <t>REG ASSET-DARR-CARRYING CHARGES</t>
  </si>
  <si>
    <t>REG ASSET-DARR-DISTRIBUTION DEFERRED ASSETS</t>
  </si>
  <si>
    <t>REG ASSET-DEFD RECOVERABLE DISTR ASSET</t>
  </si>
  <si>
    <t>REG ASSET-UNDER RECOVERED CAPACITY COST</t>
  </si>
  <si>
    <t>REG ASSET-CAPACITY COST CARRYING CHARGES</t>
  </si>
  <si>
    <t>REG ASSET-UND/REC DIST INVEST RIDER</t>
  </si>
  <si>
    <t>REG ASSET-UND/REC DIST RECOUP REV PROG</t>
  </si>
  <si>
    <t>REG ASSET-DIR UNRECOGNIZED EQUITY</t>
  </si>
  <si>
    <t>REG ASSET-UNCOLL-EDR DELAYED PMT ARNGMNT</t>
  </si>
  <si>
    <t>711O</t>
  </si>
  <si>
    <t>712K</t>
  </si>
  <si>
    <t>900A</t>
  </si>
  <si>
    <t>906D</t>
  </si>
  <si>
    <t>SFAS 106 POST RETIRE EXP - NON-DEDUCT CONT</t>
  </si>
  <si>
    <t>911H</t>
  </si>
  <si>
    <t>STATE TAX EXPENSE</t>
  </si>
  <si>
    <t>BOOK &gt; TAX BASIS-PRTSHP INVEST</t>
  </si>
  <si>
    <t>914K</t>
  </si>
  <si>
    <t>G B/S</t>
  </si>
  <si>
    <t>ADIT FED - SFAS 133 NONAFFIL 2830006</t>
  </si>
  <si>
    <t>ADIT FED - HDG-CF-INT RATE 28300015</t>
  </si>
  <si>
    <t>ADIT FED - HDG-CF-FOR EXCHG 28300016</t>
  </si>
  <si>
    <t>DEFERRED STATE INCOME TAX</t>
  </si>
  <si>
    <t>B/Ss</t>
  </si>
  <si>
    <t>T&amp;D</t>
  </si>
  <si>
    <t>012K</t>
  </si>
  <si>
    <t>TAX ALLOC-ITC-10%-46F1</t>
  </si>
  <si>
    <t>SEC ALLOC - ITC - GENERATION PLANT</t>
  </si>
  <si>
    <t>IGCC REVENUES</t>
  </si>
  <si>
    <t>CIAC-BOOK RECEIPTS</t>
  </si>
  <si>
    <t>TAXABLE GRANTS-CAPITAL PORTION</t>
  </si>
  <si>
    <t>LOSS ON DISP OF PROP - SFAS 143 - ARO -BK</t>
  </si>
  <si>
    <t>DEFD BK GAIN-FUEL CONTRACT TERMINATION</t>
  </si>
  <si>
    <t>MARK &amp; SPREAD - DEFL - 190 - A/L</t>
  </si>
  <si>
    <t>PROV WORKER'S COMP</t>
  </si>
  <si>
    <t>ACCRD SUP EXEC RET PLAN CST - SFAS 158</t>
  </si>
  <si>
    <t>ACCRUED BK SUP SAVINGS PLAN EXP</t>
  </si>
  <si>
    <t>ACCRUED BK BENEFIT COSTS</t>
  </si>
  <si>
    <t>BK ACCRD CUST EDUC FUND REIMB</t>
  </si>
  <si>
    <t>BK PROV-LT COAL NOTE RECEIVABLE</t>
  </si>
  <si>
    <t>PROV-TRADING CREDIT RISK - A/L</t>
  </si>
  <si>
    <t>PROV-FAS 157 - A/L</t>
  </si>
  <si>
    <t>PIP CUSTOMER BAD DEBTS - BOOK</t>
  </si>
  <si>
    <t>DEFD COMPENSATION-BOOK EXPENSE</t>
  </si>
  <si>
    <t>BK LOSS PROV - PLANT M&amp;S</t>
  </si>
  <si>
    <t>ACCRD ENVIRONMENTAL LIAB-CURRENT</t>
  </si>
  <si>
    <t>ACCRUED PARTNERSHIP W/OH-NONCURRENT</t>
  </si>
  <si>
    <t>ACCRUED PARTNERSHIP W/OH-CURRENT</t>
  </si>
  <si>
    <t>ACCRUED OH GROWTH FUND-NONCURRENT</t>
  </si>
  <si>
    <t>ACCRUED OH GROWTH FUND-CURRENT</t>
  </si>
  <si>
    <t>BK ACCRUAL -COOK CT RENT HOLIDAY</t>
  </si>
  <si>
    <t>ACCRUED INTEREST - L/T - FIN 48</t>
  </si>
  <si>
    <t>ACCRUED INTEREST - S/T - FIN 48</t>
  </si>
  <si>
    <t>ACCRD LOW INCOME HOUSING OBLIGATIONS</t>
  </si>
  <si>
    <t>PROV LOSS-CAR CHG-PURCHASED EMA</t>
  </si>
  <si>
    <t>CCD BILL-DFRD RETIRE BENEFITS-DFL</t>
  </si>
  <si>
    <t>DEFD CREDITS - DEFD DEPR &amp; CAPACITY CST</t>
  </si>
  <si>
    <t>TX DFL JT POLE ATT COSTS</t>
  </si>
  <si>
    <t>BK ACC MIN RENTS-GAVIN SCRUB</t>
  </si>
  <si>
    <t>TAX &gt; BOOK BASIS - EMA - A/C 190</t>
  </si>
  <si>
    <t>DEFD TX LOSS - INTERCO SALE - EMA</t>
  </si>
  <si>
    <t>BK AMORT-QUAL OF SRVC ENHANCE</t>
  </si>
  <si>
    <t>DEFD CREDITS - EXT OF LOCAL FACILITIES</t>
  </si>
  <si>
    <t>REG LIAB-GRIDSMART RESERVE</t>
  </si>
  <si>
    <t>REG LIAB - DEFD DEREG CARRY CHARGE COSTS</t>
  </si>
  <si>
    <t>DEFD REV-BONUS LEASE SHORT-TERM</t>
  </si>
  <si>
    <t>DEFD REV-BONUS LEASE LONG-TERM</t>
  </si>
  <si>
    <t>IMPAIRED ASSETS RES - FAS 121 - BK</t>
  </si>
  <si>
    <t>AMORT - GOODWILL PER BOOKS</t>
  </si>
  <si>
    <t>BK CAPD SETTLEMENT CHARGES</t>
  </si>
  <si>
    <t>ACCRUED OPEB COSTS - SFAS 158</t>
  </si>
  <si>
    <t>SFAS 106-MEDICARE SUBSIDY-NORM-(PPACA)</t>
  </si>
  <si>
    <t>REMOVAL COST CAPD-BK/TX UNIT OF PROP</t>
  </si>
  <si>
    <t>STATE TAX EXPENSED</t>
  </si>
  <si>
    <t>GRIDSMART CAPITAL RESERVE</t>
  </si>
  <si>
    <t xml:space="preserve">ACCRD SIT TX RESERVE - L/T - FIN 48 </t>
  </si>
  <si>
    <t xml:space="preserve">ACCRD SIT TX RESERVE - SHRT - FIN 48 </t>
  </si>
  <si>
    <t>BOOK &gt; TAX BASIS - PARTNERSHIP INVEST</t>
  </si>
  <si>
    <t>CHARITABLE CONTRIBUTION CARRYFORWARD</t>
  </si>
  <si>
    <t>ACCRUED WV B&amp;O TAX RESERVE</t>
  </si>
  <si>
    <t>SO2 ALLOWANCE PROVISION-OH VALUATION</t>
  </si>
  <si>
    <t>AMORT 77-80 IRS SETTLEMENT</t>
  </si>
  <si>
    <t>AMORT 85-87 IRS SETTLEMENT</t>
  </si>
  <si>
    <t>AMORT 88-90 IRS SETTLEMENT</t>
  </si>
  <si>
    <t>AMORT 91-96 IRS SETTLEMENT</t>
  </si>
  <si>
    <t>AMORT 1997-2003 IRS SETTLEMENT</t>
  </si>
  <si>
    <t>ADIT FED - HEDGE-CF-FOR EXCHG 1900016</t>
  </si>
  <si>
    <t>WHEELING POWER COMPANY</t>
  </si>
  <si>
    <t>CAPD INTEREST SECTION 481A-CHANGE IN METHOD</t>
  </si>
  <si>
    <t>RELOCATION CST - SECT 481A - CHANGE IN METHOD</t>
  </si>
  <si>
    <t>BK PLANT IN SERVICE - SFAS 143 ARO</t>
  </si>
  <si>
    <t>CAPD RELOCATION COSTS</t>
  </si>
  <si>
    <t>REG ASSET - SFAS 143-ARO</t>
  </si>
  <si>
    <t>REG ASSET - SFAS 158 PENSIONS</t>
  </si>
  <si>
    <t>BOOK LEASES CAP'D FOR TAX</t>
  </si>
  <si>
    <t>SW OVER RECOVERY OF FUEL</t>
  </si>
  <si>
    <t>SW UNDER RECOVERY OF FUEL</t>
  </si>
  <si>
    <t>ACCRUED INTEREST LONG TERM FIN 48</t>
  </si>
  <si>
    <t>ACCRUED INTEREST SHORT TERM FIN 48</t>
  </si>
  <si>
    <t>ACCRD SFAS 106 PST RETIRE EXP NON DEDUCT</t>
  </si>
  <si>
    <t>ACCRD BOOK ARO EXPENSE SFAS 143</t>
  </si>
  <si>
    <t>ACCRD SIT TX RES LONG TERM FIN 48</t>
  </si>
  <si>
    <t>ACCRD SIT TX RES SHRT TERM FIN 48</t>
  </si>
  <si>
    <t>NON-UTILITY DEFERRED FIT</t>
  </si>
  <si>
    <t>PERIOD ENDED DECEMBER 31, 2013</t>
  </si>
  <si>
    <t>FUNCTIONALIZATION 12/31/13</t>
  </si>
  <si>
    <t>OF 12-31-13</t>
  </si>
  <si>
    <t>DISALLOWED COSTS-RESERVE DEFICIENCY-APCO VA</t>
  </si>
  <si>
    <t>WV UNREC FUEL DISPUTED COAL INV</t>
  </si>
  <si>
    <t>PROP TX-STATE 2 OLD METHOD-TX</t>
  </si>
  <si>
    <t>DEFD TAX GAIN - APCO WV SEC REG ASSET</t>
  </si>
  <si>
    <t>DEFD BK LOSS-NON AFF SALE-EMA</t>
  </si>
  <si>
    <t>REG ASSET-WW CC-CONSTR SURCHARG UNRECOG EQ</t>
  </si>
  <si>
    <t>REG ASSET-WW CONSTR SURCHRG OPER COSTS</t>
  </si>
  <si>
    <t>REG ASSET-WW CC CONSTR SURCHRG</t>
  </si>
  <si>
    <t>SFAS 106-MEDICARE SUBSIDY-(PPACA) REG ASSET</t>
  </si>
  <si>
    <t>ACCRD COMPANY INCENT PLAN-ENGAGE TO GAIN</t>
  </si>
  <si>
    <t>PROV LOSS CAR CHG PURCHASED EMA</t>
  </si>
  <si>
    <t>TAX&gt;BOOK BASIS - EMA A/C 190</t>
  </si>
  <si>
    <t>GROSS RECEIPTS-TAX EXPENSE</t>
  </si>
  <si>
    <t>REHAB CREDIT-DEFD TAX ASSET RECLASS</t>
  </si>
  <si>
    <t>REG ASSET-UNRECOVERED RES-MI</t>
  </si>
  <si>
    <t>REG ASSET-RES CARRYING COSTS-MI</t>
  </si>
  <si>
    <t>REG ASSET-RES UNRECOGNIZED EQUITY CC-MI</t>
  </si>
  <si>
    <t>REG ASSET-BAFFLE BOLTS</t>
  </si>
  <si>
    <t>REG ASSET-MI DEFERRED DEPR-COOK LCM</t>
  </si>
  <si>
    <t>REG ASSET-MI CARRYING CHARGE-COOK LCM</t>
  </si>
  <si>
    <t>REG ASSET-MI CC COOK LCM UNREC EQUITY</t>
  </si>
  <si>
    <t>REG ASSET-IN COOK TURBINE CC EQUITY</t>
  </si>
  <si>
    <t>REG ASSET-IN COOK TURBINE CC</t>
  </si>
  <si>
    <t>REG ASSET-IN CARRYING CHARGES COOK PLANT LCM UNREC EQUITY</t>
  </si>
  <si>
    <t>REG ASSET-IN CARRYING CHARGES COOK PLANT LCM</t>
  </si>
  <si>
    <t>REG ASSET-IN DEFERRED PROP TAX-COOK LCM</t>
  </si>
  <si>
    <t>REG ASSET-IN DEFERRED DEPRECIATION-COOK LCM</t>
  </si>
  <si>
    <t>REG ASSET-IN UNDER RECOVERY CAPACITY</t>
  </si>
  <si>
    <t>SFAS 106-MEDICARE SUBSIDY-(PPACA)-REG ASSET</t>
  </si>
  <si>
    <t>PROVISION FOR R &amp; D WASTE ACCRUAL LT</t>
  </si>
  <si>
    <t>PROVISION FOR R &amp; D WASTE ACCRUAL ST</t>
  </si>
  <si>
    <t>BK PROV UNCOLL ACCTS-ST</t>
  </si>
  <si>
    <t>BK PROV UNCOLL ACCTS-LT</t>
  </si>
  <si>
    <t>REMOVAL  COSTS REV-SFAS 143-ARO</t>
  </si>
  <si>
    <t>PROP TX-STATE 2-OLD METHOD-TX</t>
  </si>
  <si>
    <t>SFAS 106 PST RETIRE EXP-NON-DEDUCT CONT</t>
  </si>
  <si>
    <t>PREL SURVEY &amp; INVEST RESERVE-BIG SANDY FGD</t>
  </si>
  <si>
    <t>ECONOMIC DEVEL FUND - CURRENT</t>
  </si>
  <si>
    <t>ECONOMIC DEVEL FUND - NON-CURRENT</t>
  </si>
  <si>
    <t>TAX&gt;BOOK BASIS - EMA-A/C 190</t>
  </si>
  <si>
    <t>REG ASSET-CCS FEED STUDY RESERVE</t>
  </si>
  <si>
    <t>SFAS 106 - MEDICARE SUBSIDY - NORM - (PPACA)</t>
  </si>
  <si>
    <t>REG ASSET-RTO DEMAND RESPONSE COSTS</t>
  </si>
  <si>
    <t>DECEMBER 31, 2013</t>
  </si>
  <si>
    <t>UNRECOV COST FAC-LT RESERVE-OH</t>
  </si>
  <si>
    <t>DEFD TAX GAIN - SEC 1 REG ASSET</t>
  </si>
  <si>
    <t>REG ASSET - UND/REC GRIDSMART DIST EXP</t>
  </si>
  <si>
    <t>REG ASSET - UND/REC GRIDSMART CARRY CHGS</t>
  </si>
  <si>
    <t>REG ASSET - UND/REC GRIDSMART DEPR/A&amp;G EXP</t>
  </si>
  <si>
    <t>REG ASSET - UND/REC GRIDSMART DEF EQ CAR CHG</t>
  </si>
  <si>
    <t>REG ASSET - PROV FOR REG ASSET WRITE-OFF</t>
  </si>
  <si>
    <t>REG ASSET-DIST DECOUPLING CARRYING CHARGES</t>
  </si>
  <si>
    <t>REG ASSET-PTBAR CARRYING CHARGES (DIST DECOUP)</t>
  </si>
  <si>
    <t>REG ASSET-PTBAR UNDER REC (DIST DECOUP)</t>
  </si>
  <si>
    <t>REG ASSET-UNRECOVERED AER COSTS</t>
  </si>
  <si>
    <t>PERIOD ENDING DECEMBER 31,  2013</t>
  </si>
  <si>
    <t>BK PROV UNCOLL ACCTS-LT ORMET</t>
  </si>
  <si>
    <t>(ICDP)-INCENTIVE COMP DEFERRAL PLAN</t>
  </si>
  <si>
    <t>SECURITIZATION DEFD EQUITY INCOME-LONG TERM</t>
  </si>
  <si>
    <t>SFAS 106-MEDICARE SUBSIDY-(PPACA)REG ASSET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</si>
</sst>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2" fillId="0" borderId="0">
      <alignment/>
      <protection/>
    </xf>
    <xf numFmtId="3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3" fontId="2" fillId="0" borderId="0" xfId="56" applyNumberFormat="1" applyFont="1" applyFill="1" applyAlignment="1">
      <alignment/>
      <protection/>
    </xf>
    <xf numFmtId="37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Alignment="1" applyProtection="1">
      <alignment/>
      <protection locked="0"/>
    </xf>
    <xf numFmtId="3" fontId="2" fillId="0" borderId="0" xfId="57" applyNumberFormat="1" applyFont="1" applyFill="1" applyAlignment="1">
      <alignment/>
      <protection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57" applyNumberFormat="1" applyFont="1" applyFill="1" applyAlignment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7" fontId="2" fillId="0" borderId="1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center"/>
    </xf>
    <xf numFmtId="37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164" fontId="0" fillId="0" borderId="10" xfId="44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37" fontId="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0" fillId="0" borderId="11" xfId="0" applyNumberFormat="1" applyFill="1" applyBorder="1" applyAlignment="1">
      <alignment/>
    </xf>
    <xf numFmtId="39" fontId="0" fillId="0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 horizontal="left"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Alignment="1">
      <alignment/>
    </xf>
    <xf numFmtId="3" fontId="0" fillId="0" borderId="0" xfId="0" applyNumberFormat="1" applyFont="1" applyAlignment="1">
      <alignment horizontal="left"/>
    </xf>
    <xf numFmtId="164" fontId="4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 horizontal="centerContinuous"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 horizontal="center"/>
    </xf>
    <xf numFmtId="37" fontId="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TATEMENT 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APCo-AF-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WPCO%20AG-3-2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APCo-AG-3-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I&amp;M-AF-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I&amp;M-AG-3-2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KGPT-AF-2-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Kgpt-AG-3-2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OPCO-AF-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OPCO-AG-3-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WPCO%20AF-2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-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CO-AF-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24" sqref="B24"/>
    </sheetView>
  </sheetViews>
  <sheetFormatPr defaultColWidth="12.7109375" defaultRowHeight="15"/>
  <cols>
    <col min="1" max="1" width="4.57421875" style="3" customWidth="1"/>
    <col min="2" max="2" width="56.140625" style="1" customWidth="1"/>
    <col min="3" max="3" width="14.57421875" style="1" customWidth="1"/>
    <col min="4" max="4" width="14.7109375" style="1" bestFit="1" customWidth="1"/>
    <col min="5" max="5" width="14.421875" style="1" hidden="1" customWidth="1"/>
    <col min="6" max="6" width="17.00390625" style="1" hidden="1" customWidth="1"/>
    <col min="7" max="7" width="16.7109375" style="1" hidden="1" customWidth="1"/>
    <col min="8" max="8" width="3.8515625" style="1" hidden="1" customWidth="1"/>
    <col min="9" max="11" width="16.7109375" style="1" hidden="1" customWidth="1"/>
    <col min="12" max="12" width="4.140625" style="1" customWidth="1"/>
    <col min="13" max="13" width="14.00390625" style="1" customWidth="1"/>
    <col min="14" max="14" width="15.8515625" style="1" customWidth="1"/>
    <col min="15" max="15" width="15.140625" style="1" customWidth="1"/>
    <col min="16" max="16" width="2.57421875" style="1" customWidth="1"/>
    <col min="17" max="17" width="14.00390625" style="1" bestFit="1" customWidth="1"/>
    <col min="18" max="18" width="15.8515625" style="1" bestFit="1" customWidth="1"/>
    <col min="19" max="19" width="16.8515625" style="1" customWidth="1"/>
    <col min="20" max="16384" width="12.7109375" style="1" customWidth="1"/>
  </cols>
  <sheetData>
    <row r="1" spans="1:20" ht="15">
      <c r="A1" s="7"/>
      <c r="B1" s="8" t="s">
        <v>0</v>
      </c>
      <c r="C1" s="9"/>
      <c r="D1" s="9"/>
      <c r="E1" s="9"/>
      <c r="F1" s="9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10"/>
      <c r="T1" s="9"/>
    </row>
    <row r="2" spans="1:20" ht="15">
      <c r="A2" s="7"/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10"/>
      <c r="T2" s="9"/>
    </row>
    <row r="3" spans="1:20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7"/>
      <c r="B4" s="9"/>
      <c r="C4" s="9"/>
      <c r="D4" s="9"/>
      <c r="E4" s="9"/>
      <c r="F4" s="9"/>
      <c r="G4" s="11" t="s">
        <v>2</v>
      </c>
      <c r="H4" s="11"/>
      <c r="I4" s="11"/>
      <c r="J4" s="11"/>
      <c r="K4" s="11"/>
      <c r="L4" s="11"/>
      <c r="M4" s="9"/>
      <c r="N4" s="9"/>
      <c r="O4" s="9"/>
      <c r="P4" s="9"/>
      <c r="Q4" s="9"/>
      <c r="R4" s="9"/>
      <c r="S4" s="9"/>
      <c r="T4" s="9"/>
    </row>
    <row r="5" spans="1:20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  <c r="T8" s="9"/>
    </row>
    <row r="9" spans="1:20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17" t="s">
        <v>22</v>
      </c>
      <c r="N10" s="14"/>
      <c r="O10" s="14"/>
      <c r="P10" s="9"/>
      <c r="Q10" s="17" t="s">
        <v>659</v>
      </c>
      <c r="R10" s="14"/>
      <c r="S10" s="14"/>
      <c r="T10" s="9"/>
    </row>
    <row r="11" spans="1:20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  <c r="T11" s="9"/>
    </row>
    <row r="12" spans="1:20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  <c r="T12" s="9"/>
    </row>
    <row r="13" spans="1:20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  <c r="T13" s="9"/>
    </row>
    <row r="14" spans="1:20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s="7"/>
      <c r="B15" s="19" t="s">
        <v>32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9"/>
    </row>
    <row r="16" spans="1:20" ht="15">
      <c r="A16" s="7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9"/>
    </row>
    <row r="17" spans="1:20" ht="15">
      <c r="A17" s="22">
        <v>1</v>
      </c>
      <c r="B17" s="19" t="s">
        <v>33</v>
      </c>
      <c r="C17" s="20">
        <f>SUM(M17:O17)</f>
        <v>197320252.2</v>
      </c>
      <c r="D17" s="20">
        <f>SUM(Q17:S17)</f>
        <v>290874325.35</v>
      </c>
      <c r="E17" s="20"/>
      <c r="F17" s="20"/>
      <c r="G17" s="20">
        <f aca="true" t="shared" si="0" ref="G17:G23">ROUND(SUM(C17:F17)/2,0)</f>
        <v>244097289</v>
      </c>
      <c r="H17" s="20"/>
      <c r="I17" s="20">
        <f aca="true" t="shared" si="1" ref="I17:K20">(+M17+Q17)/2</f>
        <v>244097288.775</v>
      </c>
      <c r="J17" s="20">
        <f t="shared" si="1"/>
        <v>0</v>
      </c>
      <c r="K17" s="20">
        <f t="shared" si="1"/>
        <v>0</v>
      </c>
      <c r="L17" s="20"/>
      <c r="M17" s="20">
        <v>197320252.2</v>
      </c>
      <c r="N17" s="20">
        <v>0</v>
      </c>
      <c r="O17" s="20">
        <v>0</v>
      </c>
      <c r="P17" s="20"/>
      <c r="Q17" s="20">
        <f>234586134.35+56288191</f>
        <v>290874325.35</v>
      </c>
      <c r="R17" s="20">
        <v>0</v>
      </c>
      <c r="S17" s="20">
        <v>0</v>
      </c>
      <c r="T17" s="9"/>
    </row>
    <row r="18" spans="1:20" ht="15">
      <c r="A18" s="22">
        <f aca="true" t="shared" si="2" ref="A18:A81">A17+1</f>
        <v>2</v>
      </c>
      <c r="B18" s="10"/>
      <c r="C18" s="20">
        <f>SUM(M18:O18)</f>
        <v>0</v>
      </c>
      <c r="D18" s="20">
        <f>SUM(Q18:S18)</f>
        <v>0</v>
      </c>
      <c r="E18" s="20"/>
      <c r="F18" s="20"/>
      <c r="G18" s="20">
        <f t="shared" si="0"/>
        <v>0</v>
      </c>
      <c r="H18" s="20"/>
      <c r="I18" s="20">
        <f t="shared" si="1"/>
        <v>0</v>
      </c>
      <c r="J18" s="20">
        <f t="shared" si="1"/>
        <v>0</v>
      </c>
      <c r="K18" s="20">
        <f t="shared" si="1"/>
        <v>0</v>
      </c>
      <c r="L18" s="20"/>
      <c r="M18" s="20">
        <v>0</v>
      </c>
      <c r="N18" s="20">
        <v>0</v>
      </c>
      <c r="O18" s="20">
        <v>0</v>
      </c>
      <c r="P18" s="20"/>
      <c r="Q18" s="20">
        <v>0</v>
      </c>
      <c r="R18" s="20">
        <v>0</v>
      </c>
      <c r="S18" s="20">
        <v>0</v>
      </c>
      <c r="T18" s="9"/>
    </row>
    <row r="19" spans="1:20" ht="15">
      <c r="A19" s="22">
        <f t="shared" si="2"/>
        <v>3</v>
      </c>
      <c r="B19" s="10"/>
      <c r="C19" s="20">
        <f>SUM(M19:O19)</f>
        <v>0</v>
      </c>
      <c r="D19" s="20">
        <f>SUM(Q19:S19)</f>
        <v>0</v>
      </c>
      <c r="E19" s="20"/>
      <c r="F19" s="20"/>
      <c r="G19" s="20">
        <f t="shared" si="0"/>
        <v>0</v>
      </c>
      <c r="H19" s="20"/>
      <c r="I19" s="20">
        <f t="shared" si="1"/>
        <v>0</v>
      </c>
      <c r="J19" s="20">
        <f t="shared" si="1"/>
        <v>0</v>
      </c>
      <c r="K19" s="20">
        <f t="shared" si="1"/>
        <v>0</v>
      </c>
      <c r="L19" s="20"/>
      <c r="M19" s="20">
        <v>0</v>
      </c>
      <c r="N19" s="20">
        <v>0</v>
      </c>
      <c r="O19" s="20">
        <v>0</v>
      </c>
      <c r="P19" s="20"/>
      <c r="Q19" s="20">
        <v>0</v>
      </c>
      <c r="R19" s="20">
        <v>0</v>
      </c>
      <c r="S19" s="20">
        <v>0</v>
      </c>
      <c r="T19" s="9"/>
    </row>
    <row r="20" spans="1:20" ht="15">
      <c r="A20" s="22">
        <f t="shared" si="2"/>
        <v>4</v>
      </c>
      <c r="B20" s="10"/>
      <c r="C20" s="20"/>
      <c r="D20" s="20"/>
      <c r="E20" s="20"/>
      <c r="F20" s="20"/>
      <c r="G20" s="20">
        <f t="shared" si="0"/>
        <v>0</v>
      </c>
      <c r="H20" s="20"/>
      <c r="I20" s="20">
        <f t="shared" si="1"/>
        <v>0</v>
      </c>
      <c r="J20" s="20">
        <f t="shared" si="1"/>
        <v>0</v>
      </c>
      <c r="K20" s="20">
        <f t="shared" si="1"/>
        <v>0</v>
      </c>
      <c r="L20" s="20"/>
      <c r="M20" s="20">
        <v>0</v>
      </c>
      <c r="N20" s="20">
        <v>0</v>
      </c>
      <c r="O20" s="20">
        <v>0</v>
      </c>
      <c r="P20" s="20"/>
      <c r="Q20" s="20">
        <v>0</v>
      </c>
      <c r="R20" s="20">
        <v>0</v>
      </c>
      <c r="S20" s="20">
        <v>0</v>
      </c>
      <c r="T20" s="9"/>
    </row>
    <row r="21" spans="1:20" ht="15">
      <c r="A21" s="22">
        <f t="shared" si="2"/>
        <v>5</v>
      </c>
      <c r="B21" s="10" t="s">
        <v>34</v>
      </c>
      <c r="C21" s="20">
        <v>0</v>
      </c>
      <c r="D21" s="20">
        <v>0</v>
      </c>
      <c r="E21" s="20">
        <f aca="true" t="shared" si="3" ref="E21:F23">-C21</f>
        <v>0</v>
      </c>
      <c r="F21" s="20">
        <f t="shared" si="3"/>
        <v>0</v>
      </c>
      <c r="G21" s="20">
        <f t="shared" si="0"/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9"/>
    </row>
    <row r="22" spans="1:20" ht="15">
      <c r="A22" s="22">
        <f t="shared" si="2"/>
        <v>6</v>
      </c>
      <c r="B22" s="10" t="s">
        <v>35</v>
      </c>
      <c r="C22" s="20">
        <v>0</v>
      </c>
      <c r="D22" s="20">
        <v>0</v>
      </c>
      <c r="E22" s="20">
        <f t="shared" si="3"/>
        <v>0</v>
      </c>
      <c r="F22" s="20">
        <f t="shared" si="3"/>
        <v>0</v>
      </c>
      <c r="G22" s="20">
        <f t="shared" si="0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9"/>
    </row>
    <row r="23" spans="1:20" ht="15">
      <c r="A23" s="22">
        <f t="shared" si="2"/>
        <v>7</v>
      </c>
      <c r="B23" s="10" t="s">
        <v>36</v>
      </c>
      <c r="C23" s="20">
        <v>0</v>
      </c>
      <c r="D23" s="20">
        <v>0</v>
      </c>
      <c r="E23" s="20">
        <f t="shared" si="3"/>
        <v>0</v>
      </c>
      <c r="F23" s="20">
        <f t="shared" si="3"/>
        <v>0</v>
      </c>
      <c r="G23" s="20">
        <f t="shared" si="0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9"/>
    </row>
    <row r="24" spans="1:20" ht="15">
      <c r="A24" s="22">
        <f t="shared" si="2"/>
        <v>8</v>
      </c>
      <c r="B24" s="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9"/>
    </row>
    <row r="25" spans="1:20" ht="15.75" thickBot="1">
      <c r="A25" s="22">
        <f t="shared" si="2"/>
        <v>9</v>
      </c>
      <c r="B25" s="19" t="s">
        <v>37</v>
      </c>
      <c r="C25" s="23">
        <f aca="true" t="shared" si="4" ref="C25:N25">SUM(C17:C24)</f>
        <v>197320252.2</v>
      </c>
      <c r="D25" s="23">
        <f t="shared" si="4"/>
        <v>290874325.35</v>
      </c>
      <c r="E25" s="23">
        <f t="shared" si="4"/>
        <v>0</v>
      </c>
      <c r="F25" s="23">
        <f t="shared" si="4"/>
        <v>0</v>
      </c>
      <c r="G25" s="23">
        <f t="shared" si="4"/>
        <v>244097289</v>
      </c>
      <c r="H25" s="23"/>
      <c r="I25" s="23">
        <f>SUM(I17:I24)</f>
        <v>244097288.775</v>
      </c>
      <c r="J25" s="23">
        <f>SUM(J17:J24)</f>
        <v>0</v>
      </c>
      <c r="K25" s="23">
        <f>SUM(K17:K24)</f>
        <v>0</v>
      </c>
      <c r="L25" s="23"/>
      <c r="M25" s="23">
        <f t="shared" si="4"/>
        <v>197320252.2</v>
      </c>
      <c r="N25" s="23">
        <f t="shared" si="4"/>
        <v>0</v>
      </c>
      <c r="O25" s="23">
        <f>SUM(O17:O24)</f>
        <v>0</v>
      </c>
      <c r="P25" s="20"/>
      <c r="Q25" s="23">
        <f>SUM(Q17:Q24)</f>
        <v>290874325.35</v>
      </c>
      <c r="R25" s="23">
        <f>SUM(R17:R24)</f>
        <v>0</v>
      </c>
      <c r="S25" s="23">
        <f>SUM(S17:S24)</f>
        <v>0</v>
      </c>
      <c r="T25" s="9"/>
    </row>
    <row r="26" spans="1:20" ht="15.75" thickTop="1">
      <c r="A26" s="22">
        <f t="shared" si="2"/>
        <v>10</v>
      </c>
      <c r="B26" s="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0"/>
      <c r="Q26" s="24"/>
      <c r="R26" s="24"/>
      <c r="S26" s="24"/>
      <c r="T26" s="9"/>
    </row>
    <row r="27" spans="1:20" ht="15">
      <c r="A27" s="22">
        <f t="shared" si="2"/>
        <v>11</v>
      </c>
      <c r="B27" s="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9"/>
    </row>
    <row r="28" spans="1:20" ht="15">
      <c r="A28" s="22">
        <f t="shared" si="2"/>
        <v>12</v>
      </c>
      <c r="B28" s="10" t="s">
        <v>38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9"/>
    </row>
    <row r="29" spans="1:20" ht="15">
      <c r="A29" s="22">
        <f t="shared" si="2"/>
        <v>13</v>
      </c>
      <c r="B29" s="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9"/>
    </row>
    <row r="30" spans="1:20" ht="15">
      <c r="A30" s="22">
        <f t="shared" si="2"/>
        <v>14</v>
      </c>
      <c r="B30" s="19" t="s">
        <v>39</v>
      </c>
      <c r="C30" s="20">
        <f aca="true" t="shared" si="5" ref="C30:C63">SUM(M30:O30)</f>
        <v>935041041.86</v>
      </c>
      <c r="D30" s="20">
        <f aca="true" t="shared" si="6" ref="D30:D63">SUM(Q30:S30)</f>
        <v>1140745471.21</v>
      </c>
      <c r="E30" s="20"/>
      <c r="F30" s="20"/>
      <c r="G30" s="20">
        <f aca="true" t="shared" si="7" ref="G30:G67">ROUND(SUM(C30:F30)/2,0)</f>
        <v>1037893257</v>
      </c>
      <c r="H30" s="20"/>
      <c r="I30" s="20">
        <f aca="true" t="shared" si="8" ref="I30:K63">(+M30+Q30)/2</f>
        <v>332790360.2</v>
      </c>
      <c r="J30" s="20">
        <f t="shared" si="8"/>
        <v>289385233.97</v>
      </c>
      <c r="K30" s="20">
        <f t="shared" si="8"/>
        <v>415717662.365</v>
      </c>
      <c r="L30" s="20"/>
      <c r="M30" s="20">
        <f>899693+112115+875841.79+239162+239131883.85+68580+721818+16268986.65</f>
        <v>258318080.29</v>
      </c>
      <c r="N30" s="20">
        <f>2.43-43991.91-33501+246204301.7+1713155+1052723+27460080.85</f>
        <v>276352770.07</v>
      </c>
      <c r="O30" s="20">
        <f>48202.26+9869+11826.24+2133+336282013+5206+835189.1+63175752.9</f>
        <v>400370191.5</v>
      </c>
      <c r="P30" s="20"/>
      <c r="Q30" s="20">
        <f>794515.86+99707+909275+231410+265417674.85+40603+721818+19956623.4+119091013</f>
        <v>407262640.11</v>
      </c>
      <c r="R30" s="20">
        <f>2.43-43991.91-33501+269861449.55+1644546+1052723+29936469.8</f>
        <v>302417697.87</v>
      </c>
      <c r="S30" s="20">
        <f>48310.94+9608+11826.24+2133+360889571.15+273+835189.1+69268221.8</f>
        <v>431065133.23</v>
      </c>
      <c r="T30" s="9"/>
    </row>
    <row r="31" spans="1:20" ht="15">
      <c r="A31" s="22">
        <f t="shared" si="2"/>
        <v>15</v>
      </c>
      <c r="B31" s="10" t="s">
        <v>40</v>
      </c>
      <c r="C31" s="20">
        <f>SUM(M31:O31)</f>
        <v>0</v>
      </c>
      <c r="D31" s="20">
        <f>SUM(Q31:S31)</f>
        <v>0</v>
      </c>
      <c r="E31" s="20"/>
      <c r="F31" s="20"/>
      <c r="G31" s="20">
        <f>ROUND(SUM(C31:F31)/2,0)</f>
        <v>0</v>
      </c>
      <c r="H31" s="20"/>
      <c r="I31" s="20">
        <f>(+M31+Q31)/2</f>
        <v>0</v>
      </c>
      <c r="J31" s="20">
        <f>(+N31+R31)/2</f>
        <v>0</v>
      </c>
      <c r="K31" s="20">
        <f>(+O31+S31)/2</f>
        <v>0</v>
      </c>
      <c r="L31" s="20"/>
      <c r="M31" s="20">
        <v>0</v>
      </c>
      <c r="N31" s="20">
        <f>0</f>
        <v>0</v>
      </c>
      <c r="O31" s="20">
        <v>0</v>
      </c>
      <c r="P31" s="20"/>
      <c r="Q31" s="20">
        <v>0</v>
      </c>
      <c r="R31" s="20">
        <v>0</v>
      </c>
      <c r="S31" s="20">
        <v>0</v>
      </c>
      <c r="T31" s="9"/>
    </row>
    <row r="32" spans="1:20" ht="15">
      <c r="A32" s="22">
        <f t="shared" si="2"/>
        <v>16</v>
      </c>
      <c r="B32" s="19" t="s">
        <v>41</v>
      </c>
      <c r="C32" s="20">
        <f t="shared" si="5"/>
        <v>2211583.4699999997</v>
      </c>
      <c r="D32" s="20">
        <f t="shared" si="6"/>
        <v>1811498.12</v>
      </c>
      <c r="E32" s="20"/>
      <c r="F32" s="20"/>
      <c r="G32" s="20">
        <f t="shared" si="7"/>
        <v>2011541</v>
      </c>
      <c r="H32" s="20"/>
      <c r="I32" s="20">
        <f t="shared" si="8"/>
        <v>629527.8200000001</v>
      </c>
      <c r="J32" s="20">
        <f t="shared" si="8"/>
        <v>849037.875</v>
      </c>
      <c r="K32" s="20">
        <f t="shared" si="8"/>
        <v>532975.1000000001</v>
      </c>
      <c r="L32" s="20"/>
      <c r="M32" s="20">
        <v>692133.02</v>
      </c>
      <c r="N32" s="20">
        <v>933472.4</v>
      </c>
      <c r="O32" s="20">
        <v>585978.05</v>
      </c>
      <c r="P32" s="20"/>
      <c r="Q32" s="20">
        <v>566922.62</v>
      </c>
      <c r="R32" s="20">
        <v>764603.35</v>
      </c>
      <c r="S32" s="20">
        <v>479972.15</v>
      </c>
      <c r="T32" s="9"/>
    </row>
    <row r="33" spans="1:20" ht="15">
      <c r="A33" s="22">
        <f t="shared" si="2"/>
        <v>17</v>
      </c>
      <c r="B33" s="19" t="s">
        <v>42</v>
      </c>
      <c r="C33" s="20">
        <f>SUM(M33:O33)</f>
        <v>418644.45</v>
      </c>
      <c r="D33" s="20">
        <f>SUM(Q33:S33)</f>
        <v>347355.05</v>
      </c>
      <c r="E33" s="20"/>
      <c r="F33" s="20"/>
      <c r="G33" s="20">
        <f>ROUND(SUM(C33:F33)/2,0)</f>
        <v>383000</v>
      </c>
      <c r="H33" s="20"/>
      <c r="I33" s="20">
        <f>(+M33+Q33)/2</f>
        <v>0</v>
      </c>
      <c r="J33" s="20">
        <f>(+N33+R33)/2</f>
        <v>0</v>
      </c>
      <c r="K33" s="20">
        <f>(+O33+S33)/2</f>
        <v>382999.75</v>
      </c>
      <c r="L33" s="20"/>
      <c r="M33" s="20">
        <v>0</v>
      </c>
      <c r="N33" s="20">
        <v>0</v>
      </c>
      <c r="O33" s="20">
        <v>418644.45</v>
      </c>
      <c r="P33" s="20"/>
      <c r="Q33" s="20">
        <v>0</v>
      </c>
      <c r="R33" s="20">
        <v>0</v>
      </c>
      <c r="S33" s="20">
        <v>347355.05</v>
      </c>
      <c r="T33" s="9"/>
    </row>
    <row r="34" spans="1:20" ht="15">
      <c r="A34" s="22">
        <f t="shared" si="2"/>
        <v>18</v>
      </c>
      <c r="B34" s="19" t="s">
        <v>43</v>
      </c>
      <c r="C34" s="20">
        <f t="shared" si="5"/>
        <v>286595.84</v>
      </c>
      <c r="D34" s="20">
        <f t="shared" si="6"/>
        <v>213874.40000000002</v>
      </c>
      <c r="E34" s="20"/>
      <c r="F34" s="20"/>
      <c r="G34" s="20">
        <f t="shared" si="7"/>
        <v>250235</v>
      </c>
      <c r="H34" s="20"/>
      <c r="I34" s="20">
        <f t="shared" si="8"/>
        <v>0</v>
      </c>
      <c r="J34" s="20">
        <f t="shared" si="8"/>
        <v>250234.92</v>
      </c>
      <c r="K34" s="20">
        <f t="shared" si="8"/>
        <v>0.2</v>
      </c>
      <c r="L34" s="20"/>
      <c r="M34" s="20">
        <v>0</v>
      </c>
      <c r="N34" s="20">
        <v>286595.64</v>
      </c>
      <c r="O34" s="20">
        <v>0.2</v>
      </c>
      <c r="P34" s="20"/>
      <c r="Q34" s="20">
        <v>0</v>
      </c>
      <c r="R34" s="20">
        <v>213874.2</v>
      </c>
      <c r="S34" s="20">
        <v>0.2</v>
      </c>
      <c r="T34" s="9"/>
    </row>
    <row r="35" spans="1:20" ht="15">
      <c r="A35" s="22">
        <f t="shared" si="2"/>
        <v>19</v>
      </c>
      <c r="B35" s="19" t="s">
        <v>44</v>
      </c>
      <c r="C35" s="20">
        <f t="shared" si="5"/>
        <v>10551786.350000001</v>
      </c>
      <c r="D35" s="20">
        <f t="shared" si="6"/>
        <v>10649556.4</v>
      </c>
      <c r="E35" s="20"/>
      <c r="F35" s="20"/>
      <c r="G35" s="20">
        <f t="shared" si="7"/>
        <v>10600671</v>
      </c>
      <c r="H35" s="20"/>
      <c r="I35" s="20">
        <f>(+M35+Q35)/2</f>
        <v>10263947.575</v>
      </c>
      <c r="J35" s="20">
        <f>(+N35+R35)/2</f>
        <v>0</v>
      </c>
      <c r="K35" s="20">
        <f>(+O35+S35)/2</f>
        <v>336723.8</v>
      </c>
      <c r="L35" s="20"/>
      <c r="M35" s="20">
        <v>10215062.55</v>
      </c>
      <c r="N35" s="20">
        <v>0</v>
      </c>
      <c r="O35" s="20">
        <v>336723.8</v>
      </c>
      <c r="P35" s="20"/>
      <c r="Q35" s="20">
        <v>10312832.6</v>
      </c>
      <c r="R35" s="20">
        <v>0</v>
      </c>
      <c r="S35" s="20">
        <v>336723.8</v>
      </c>
      <c r="T35" s="9"/>
    </row>
    <row r="36" spans="1:20" ht="15">
      <c r="A36" s="22">
        <f t="shared" si="2"/>
        <v>20</v>
      </c>
      <c r="B36" s="19" t="s">
        <v>45</v>
      </c>
      <c r="C36" s="20">
        <f t="shared" si="5"/>
        <v>8416507.34</v>
      </c>
      <c r="D36" s="20">
        <f t="shared" si="6"/>
        <v>7408471.279999999</v>
      </c>
      <c r="E36" s="20"/>
      <c r="F36" s="20"/>
      <c r="G36" s="20">
        <f t="shared" si="7"/>
        <v>7912489</v>
      </c>
      <c r="H36" s="20"/>
      <c r="I36" s="20">
        <f aca="true" t="shared" si="9" ref="I36:K39">(+M36+Q36)/2</f>
        <v>7659303.785</v>
      </c>
      <c r="J36" s="20">
        <f t="shared" si="9"/>
        <v>-293.09000000000003</v>
      </c>
      <c r="K36" s="20">
        <f t="shared" si="9"/>
        <v>253478.615</v>
      </c>
      <c r="L36" s="20"/>
      <c r="M36" s="20">
        <v>8160282.18</v>
      </c>
      <c r="N36" s="20">
        <v>-262.22</v>
      </c>
      <c r="O36" s="20">
        <v>256487.38</v>
      </c>
      <c r="P36" s="20"/>
      <c r="Q36" s="20">
        <f>2088261.39+5070064</f>
        <v>7158325.39</v>
      </c>
      <c r="R36" s="20">
        <v>-323.96</v>
      </c>
      <c r="S36" s="20">
        <v>250469.85</v>
      </c>
      <c r="T36" s="9"/>
    </row>
    <row r="37" spans="1:20" ht="15">
      <c r="A37" s="22">
        <f t="shared" si="2"/>
        <v>21</v>
      </c>
      <c r="B37" s="19" t="s">
        <v>46</v>
      </c>
      <c r="C37" s="20">
        <f t="shared" si="5"/>
        <v>-2239124.99</v>
      </c>
      <c r="D37" s="20">
        <f t="shared" si="6"/>
        <v>-2239124.99</v>
      </c>
      <c r="E37" s="20"/>
      <c r="F37" s="20"/>
      <c r="G37" s="20">
        <f t="shared" si="7"/>
        <v>-2239125</v>
      </c>
      <c r="H37" s="20"/>
      <c r="I37" s="20">
        <f>(+M37+Q37)/2</f>
        <v>-2239124.99</v>
      </c>
      <c r="J37" s="20">
        <f>(+N37+R37)/2</f>
        <v>0</v>
      </c>
      <c r="K37" s="20">
        <f>(+O37+S37)/2</f>
        <v>0</v>
      </c>
      <c r="L37" s="20"/>
      <c r="M37" s="20">
        <v>-2239124.99</v>
      </c>
      <c r="N37" s="20">
        <v>0</v>
      </c>
      <c r="O37" s="20">
        <v>0</v>
      </c>
      <c r="P37" s="20"/>
      <c r="Q37" s="20">
        <v>-2239124.99</v>
      </c>
      <c r="R37" s="20">
        <v>0</v>
      </c>
      <c r="S37" s="20">
        <v>0</v>
      </c>
      <c r="T37" s="9"/>
    </row>
    <row r="38" spans="1:20" ht="15">
      <c r="A38" s="22">
        <f t="shared" si="2"/>
        <v>22</v>
      </c>
      <c r="B38" s="19" t="s">
        <v>47</v>
      </c>
      <c r="C38" s="20">
        <f t="shared" si="5"/>
        <v>30983145.950000003</v>
      </c>
      <c r="D38" s="20">
        <f t="shared" si="6"/>
        <v>29253849.950000003</v>
      </c>
      <c r="E38" s="20"/>
      <c r="F38" s="20"/>
      <c r="G38" s="20">
        <f t="shared" si="7"/>
        <v>30118498</v>
      </c>
      <c r="H38" s="20"/>
      <c r="I38" s="20">
        <f t="shared" si="9"/>
        <v>30118497.950000003</v>
      </c>
      <c r="J38" s="20">
        <f t="shared" si="9"/>
        <v>0</v>
      </c>
      <c r="K38" s="20">
        <f t="shared" si="9"/>
        <v>0</v>
      </c>
      <c r="L38" s="20"/>
      <c r="M38" s="20">
        <f>63845250.95-32862105</f>
        <v>30983145.950000003</v>
      </c>
      <c r="N38" s="20">
        <v>0</v>
      </c>
      <c r="O38" s="20">
        <v>0</v>
      </c>
      <c r="P38" s="20"/>
      <c r="Q38" s="20">
        <f>63845250.95-34591401</f>
        <v>29253849.950000003</v>
      </c>
      <c r="R38" s="20">
        <v>0</v>
      </c>
      <c r="S38" s="20">
        <v>0</v>
      </c>
      <c r="T38" s="9"/>
    </row>
    <row r="39" spans="1:20" ht="15">
      <c r="A39" s="22">
        <f t="shared" si="2"/>
        <v>23</v>
      </c>
      <c r="B39" s="19" t="s">
        <v>48</v>
      </c>
      <c r="C39" s="20">
        <f t="shared" si="5"/>
        <v>80855712.95</v>
      </c>
      <c r="D39" s="20">
        <f t="shared" si="6"/>
        <v>85927589.5</v>
      </c>
      <c r="E39" s="20"/>
      <c r="F39" s="20"/>
      <c r="G39" s="20">
        <f t="shared" si="7"/>
        <v>83391651</v>
      </c>
      <c r="H39" s="20"/>
      <c r="I39" s="20">
        <f t="shared" si="9"/>
        <v>26362647.825000003</v>
      </c>
      <c r="J39" s="20">
        <f t="shared" si="9"/>
        <v>8022964.15</v>
      </c>
      <c r="K39" s="20">
        <f t="shared" si="9"/>
        <v>49006039.25</v>
      </c>
      <c r="L39" s="20"/>
      <c r="M39" s="20">
        <f>30227466.6-4464121</f>
        <v>25763345.6</v>
      </c>
      <c r="N39" s="20">
        <f>11625499.05-3957362</f>
        <v>7668137.050000001</v>
      </c>
      <c r="O39" s="20">
        <f>62599277.3-15175047</f>
        <v>47424230.3</v>
      </c>
      <c r="P39" s="20"/>
      <c r="Q39" s="20">
        <f>32549768.05-5587818</f>
        <v>26961950.05</v>
      </c>
      <c r="R39" s="20">
        <f>12780412.25-4402621</f>
        <v>8377791.25</v>
      </c>
      <c r="S39" s="20">
        <f>68125866.2-17538018</f>
        <v>50587848.2</v>
      </c>
      <c r="T39" s="9"/>
    </row>
    <row r="40" spans="1:20" ht="15">
      <c r="A40" s="22">
        <f t="shared" si="2"/>
        <v>24</v>
      </c>
      <c r="B40" s="19" t="s">
        <v>49</v>
      </c>
      <c r="C40" s="20">
        <f t="shared" si="5"/>
        <v>-12594444.39</v>
      </c>
      <c r="D40" s="20">
        <f t="shared" si="6"/>
        <v>-11537150.04</v>
      </c>
      <c r="E40" s="20"/>
      <c r="F40" s="20"/>
      <c r="G40" s="20">
        <f t="shared" si="7"/>
        <v>-12065797</v>
      </c>
      <c r="H40" s="20"/>
      <c r="I40" s="20">
        <f>(+M40+Q40)/2</f>
        <v>-12065797.215</v>
      </c>
      <c r="J40" s="20">
        <f>(+N40+R40)/2</f>
        <v>0</v>
      </c>
      <c r="K40" s="20">
        <f>(+O40+S40)/2</f>
        <v>0</v>
      </c>
      <c r="L40" s="20"/>
      <c r="M40" s="20">
        <v>-12594444.39</v>
      </c>
      <c r="N40" s="20">
        <v>0</v>
      </c>
      <c r="O40" s="20">
        <v>0</v>
      </c>
      <c r="P40" s="20"/>
      <c r="Q40" s="20">
        <v>-11537150.04</v>
      </c>
      <c r="R40" s="20">
        <v>0</v>
      </c>
      <c r="S40" s="20">
        <v>0</v>
      </c>
      <c r="T40" s="9"/>
    </row>
    <row r="41" spans="1:20" ht="15">
      <c r="A41" s="22">
        <f t="shared" si="2"/>
        <v>25</v>
      </c>
      <c r="B41" s="19" t="s">
        <v>50</v>
      </c>
      <c r="C41" s="20">
        <f t="shared" si="5"/>
        <v>1366800.78</v>
      </c>
      <c r="D41" s="20">
        <f t="shared" si="6"/>
        <v>1316642.93</v>
      </c>
      <c r="E41" s="20"/>
      <c r="F41" s="20"/>
      <c r="G41" s="20">
        <f t="shared" si="7"/>
        <v>1341722</v>
      </c>
      <c r="H41" s="20"/>
      <c r="I41" s="20">
        <f t="shared" si="8"/>
        <v>1334966.355</v>
      </c>
      <c r="J41" s="20">
        <f t="shared" si="8"/>
        <v>2523.5</v>
      </c>
      <c r="K41" s="20">
        <f t="shared" si="8"/>
        <v>4232</v>
      </c>
      <c r="L41" s="20"/>
      <c r="M41" s="20">
        <f>1687107.78-329206</f>
        <v>1357901.78</v>
      </c>
      <c r="N41" s="20">
        <f>59082-55758</f>
        <v>3324</v>
      </c>
      <c r="O41" s="20">
        <f>99877-94302</f>
        <v>5575</v>
      </c>
      <c r="P41" s="20"/>
      <c r="Q41" s="20">
        <f>1697382.93-385352</f>
        <v>1312030.93</v>
      </c>
      <c r="R41" s="20">
        <f>59082-57359</f>
        <v>1723</v>
      </c>
      <c r="S41" s="20">
        <f>99877-96988</f>
        <v>2889</v>
      </c>
      <c r="T41" s="9"/>
    </row>
    <row r="42" spans="1:20" ht="15">
      <c r="A42" s="22">
        <f t="shared" si="2"/>
        <v>26</v>
      </c>
      <c r="B42" s="19" t="s">
        <v>51</v>
      </c>
      <c r="C42" s="20">
        <f t="shared" si="5"/>
        <v>1158506.55</v>
      </c>
      <c r="D42" s="20">
        <f t="shared" si="6"/>
        <v>1138301.69</v>
      </c>
      <c r="E42" s="20"/>
      <c r="F42" s="20"/>
      <c r="G42" s="20">
        <f t="shared" si="7"/>
        <v>1148404</v>
      </c>
      <c r="H42" s="20"/>
      <c r="I42" s="20">
        <f t="shared" si="8"/>
        <v>0</v>
      </c>
      <c r="J42" s="20">
        <f t="shared" si="8"/>
        <v>1148404.12</v>
      </c>
      <c r="K42" s="20">
        <f t="shared" si="8"/>
        <v>0</v>
      </c>
      <c r="L42" s="20"/>
      <c r="M42" s="20">
        <v>0</v>
      </c>
      <c r="N42" s="20">
        <f>1852422.55-693916</f>
        <v>1158506.55</v>
      </c>
      <c r="O42" s="20">
        <v>0</v>
      </c>
      <c r="P42" s="20"/>
      <c r="Q42" s="20">
        <v>0</v>
      </c>
      <c r="R42" s="20">
        <f>1894640.69-756339</f>
        <v>1138301.69</v>
      </c>
      <c r="S42" s="20">
        <v>0</v>
      </c>
      <c r="T42" s="9"/>
    </row>
    <row r="43" spans="1:20" ht="15">
      <c r="A43" s="22">
        <f t="shared" si="2"/>
        <v>27</v>
      </c>
      <c r="B43" s="19" t="s">
        <v>52</v>
      </c>
      <c r="C43" s="20">
        <f t="shared" si="5"/>
        <v>23795</v>
      </c>
      <c r="D43" s="20">
        <f t="shared" si="6"/>
        <v>21676</v>
      </c>
      <c r="E43" s="20"/>
      <c r="F43" s="20"/>
      <c r="G43" s="20">
        <f t="shared" si="7"/>
        <v>22736</v>
      </c>
      <c r="H43" s="20"/>
      <c r="I43" s="20">
        <f t="shared" si="8"/>
        <v>0</v>
      </c>
      <c r="J43" s="20">
        <f t="shared" si="8"/>
        <v>8242</v>
      </c>
      <c r="K43" s="20">
        <f t="shared" si="8"/>
        <v>14493.5</v>
      </c>
      <c r="L43" s="20"/>
      <c r="M43" s="20">
        <v>0</v>
      </c>
      <c r="N43" s="20">
        <f>23373-14742</f>
        <v>8631</v>
      </c>
      <c r="O43" s="20">
        <f>40261-25097</f>
        <v>15164</v>
      </c>
      <c r="P43" s="20"/>
      <c r="Q43" s="20">
        <v>0</v>
      </c>
      <c r="R43" s="20">
        <f>23373-15520</f>
        <v>7853</v>
      </c>
      <c r="S43" s="20">
        <f>40261-26438</f>
        <v>13823</v>
      </c>
      <c r="T43" s="9"/>
    </row>
    <row r="44" spans="1:20" ht="15">
      <c r="A44" s="22">
        <f t="shared" si="2"/>
        <v>28</v>
      </c>
      <c r="B44" s="19" t="s">
        <v>53</v>
      </c>
      <c r="C44" s="20">
        <f t="shared" si="5"/>
        <v>2919.96</v>
      </c>
      <c r="D44" s="20">
        <f t="shared" si="6"/>
        <v>2939.2299999999996</v>
      </c>
      <c r="E44" s="20"/>
      <c r="F44" s="20"/>
      <c r="G44" s="20">
        <f t="shared" si="7"/>
        <v>2930</v>
      </c>
      <c r="H44" s="20"/>
      <c r="I44" s="20">
        <f t="shared" si="8"/>
        <v>0</v>
      </c>
      <c r="J44" s="20">
        <f t="shared" si="8"/>
        <v>0</v>
      </c>
      <c r="K44" s="20">
        <f t="shared" si="8"/>
        <v>2929.595</v>
      </c>
      <c r="L44" s="20"/>
      <c r="M44" s="20">
        <v>0</v>
      </c>
      <c r="N44" s="20">
        <v>0</v>
      </c>
      <c r="O44" s="20">
        <f>4243.96-1324</f>
        <v>2919.96</v>
      </c>
      <c r="P44" s="20"/>
      <c r="Q44" s="20">
        <v>0</v>
      </c>
      <c r="R44" s="20">
        <v>0</v>
      </c>
      <c r="S44" s="20">
        <f>4408.23-1469</f>
        <v>2939.2299999999996</v>
      </c>
      <c r="T44" s="9"/>
    </row>
    <row r="45" spans="1:20" ht="15">
      <c r="A45" s="22">
        <f t="shared" si="2"/>
        <v>29</v>
      </c>
      <c r="B45" s="19" t="s">
        <v>54</v>
      </c>
      <c r="C45" s="20">
        <f t="shared" si="5"/>
        <v>47374</v>
      </c>
      <c r="D45" s="20">
        <f t="shared" si="6"/>
        <v>26994</v>
      </c>
      <c r="E45" s="20"/>
      <c r="F45" s="20"/>
      <c r="G45" s="20">
        <f t="shared" si="7"/>
        <v>37184</v>
      </c>
      <c r="H45" s="20"/>
      <c r="I45" s="20">
        <f t="shared" si="8"/>
        <v>0</v>
      </c>
      <c r="J45" s="20">
        <f t="shared" si="8"/>
        <v>13891</v>
      </c>
      <c r="K45" s="20">
        <f t="shared" si="8"/>
        <v>23293</v>
      </c>
      <c r="L45" s="20"/>
      <c r="M45" s="20">
        <v>0</v>
      </c>
      <c r="N45" s="20">
        <f>629080-611382</f>
        <v>17698</v>
      </c>
      <c r="O45" s="20">
        <f>1054778-1025102</f>
        <v>29676</v>
      </c>
      <c r="P45" s="20"/>
      <c r="Q45" s="20">
        <v>0</v>
      </c>
      <c r="R45" s="20">
        <f>629080-618996</f>
        <v>10084</v>
      </c>
      <c r="S45" s="20">
        <f>1054778-1037868</f>
        <v>16910</v>
      </c>
      <c r="T45" s="9"/>
    </row>
    <row r="46" spans="1:20" ht="15">
      <c r="A46" s="22">
        <f t="shared" si="2"/>
        <v>30</v>
      </c>
      <c r="B46" s="19" t="s">
        <v>55</v>
      </c>
      <c r="C46" s="20">
        <f t="shared" si="5"/>
        <v>7094</v>
      </c>
      <c r="D46" s="20">
        <f t="shared" si="6"/>
        <v>2067</v>
      </c>
      <c r="E46" s="20"/>
      <c r="F46" s="20"/>
      <c r="G46" s="20">
        <f t="shared" si="7"/>
        <v>4581</v>
      </c>
      <c r="H46" s="20"/>
      <c r="I46" s="20">
        <f t="shared" si="8"/>
        <v>0</v>
      </c>
      <c r="J46" s="20">
        <f t="shared" si="8"/>
        <v>1710.5</v>
      </c>
      <c r="K46" s="20">
        <f t="shared" si="8"/>
        <v>2870</v>
      </c>
      <c r="L46" s="20"/>
      <c r="M46" s="20">
        <v>0</v>
      </c>
      <c r="N46" s="20">
        <f>273853-271204</f>
        <v>2649</v>
      </c>
      <c r="O46" s="20">
        <f>459159-454714</f>
        <v>4445</v>
      </c>
      <c r="P46" s="20"/>
      <c r="Q46" s="20">
        <v>0</v>
      </c>
      <c r="R46" s="20">
        <f>273853-273081</f>
        <v>772</v>
      </c>
      <c r="S46" s="20">
        <f>459159-457864</f>
        <v>1295</v>
      </c>
      <c r="T46" s="9"/>
    </row>
    <row r="47" spans="1:20" ht="15">
      <c r="A47" s="22">
        <f t="shared" si="2"/>
        <v>31</v>
      </c>
      <c r="B47" s="19" t="s">
        <v>56</v>
      </c>
      <c r="C47" s="20">
        <f t="shared" si="5"/>
        <v>-59148.1</v>
      </c>
      <c r="D47" s="20">
        <f t="shared" si="6"/>
        <v>-70199.35</v>
      </c>
      <c r="E47" s="20"/>
      <c r="F47" s="20"/>
      <c r="G47" s="20">
        <f t="shared" si="7"/>
        <v>-64674</v>
      </c>
      <c r="H47" s="20"/>
      <c r="I47" s="20">
        <f t="shared" si="8"/>
        <v>-63657.45</v>
      </c>
      <c r="J47" s="20">
        <f t="shared" si="8"/>
        <v>-794.8</v>
      </c>
      <c r="K47" s="20">
        <f t="shared" si="8"/>
        <v>-221.4749999999999</v>
      </c>
      <c r="L47" s="20"/>
      <c r="M47" s="20">
        <v>-61375.45</v>
      </c>
      <c r="N47" s="20">
        <f>431.95</f>
        <v>431.95</v>
      </c>
      <c r="O47" s="20">
        <v>1795.4</v>
      </c>
      <c r="P47" s="20"/>
      <c r="Q47" s="20">
        <v>-65939.45</v>
      </c>
      <c r="R47" s="20">
        <v>-2021.55</v>
      </c>
      <c r="S47" s="20">
        <v>-2238.35</v>
      </c>
      <c r="T47" s="9"/>
    </row>
    <row r="48" spans="1:20" ht="15">
      <c r="A48" s="22">
        <f t="shared" si="2"/>
        <v>32</v>
      </c>
      <c r="B48" s="19" t="s">
        <v>57</v>
      </c>
      <c r="C48" s="20">
        <f t="shared" si="5"/>
        <v>13055</v>
      </c>
      <c r="D48" s="20">
        <f t="shared" si="6"/>
        <v>7412</v>
      </c>
      <c r="E48" s="20"/>
      <c r="F48" s="20"/>
      <c r="G48" s="20">
        <f t="shared" si="7"/>
        <v>10234</v>
      </c>
      <c r="H48" s="20"/>
      <c r="I48" s="20">
        <f t="shared" si="8"/>
        <v>0</v>
      </c>
      <c r="J48" s="20">
        <f t="shared" si="8"/>
        <v>3824</v>
      </c>
      <c r="K48" s="20">
        <f t="shared" si="8"/>
        <v>6409.5</v>
      </c>
      <c r="L48" s="20"/>
      <c r="M48" s="20">
        <v>0</v>
      </c>
      <c r="N48" s="20">
        <f>146852-141973</f>
        <v>4879</v>
      </c>
      <c r="O48" s="20">
        <f>246227-238051</f>
        <v>8176</v>
      </c>
      <c r="P48" s="20"/>
      <c r="Q48" s="20">
        <v>0</v>
      </c>
      <c r="R48" s="20">
        <f>146852-144083</f>
        <v>2769</v>
      </c>
      <c r="S48" s="20">
        <f>246227-241584</f>
        <v>4643</v>
      </c>
      <c r="T48" s="9"/>
    </row>
    <row r="49" spans="1:20" ht="15">
      <c r="A49" s="22">
        <f t="shared" si="2"/>
        <v>33</v>
      </c>
      <c r="B49" s="19" t="s">
        <v>58</v>
      </c>
      <c r="C49" s="20">
        <f t="shared" si="5"/>
        <v>22766321.02</v>
      </c>
      <c r="D49" s="20">
        <f t="shared" si="6"/>
        <v>21496486.02</v>
      </c>
      <c r="E49" s="20"/>
      <c r="F49" s="20"/>
      <c r="G49" s="20">
        <f t="shared" si="7"/>
        <v>22131404</v>
      </c>
      <c r="H49" s="20"/>
      <c r="I49" s="20">
        <f t="shared" si="8"/>
        <v>14416934.809999999</v>
      </c>
      <c r="J49" s="20">
        <f t="shared" si="8"/>
        <v>2588994.41</v>
      </c>
      <c r="K49" s="20">
        <f t="shared" si="8"/>
        <v>5125474.300000001</v>
      </c>
      <c r="L49" s="20"/>
      <c r="M49" s="20">
        <f>19781115.31-5034494</f>
        <v>14746621.309999999</v>
      </c>
      <c r="N49" s="20">
        <f>7691586.91-4999258</f>
        <v>2692328.91</v>
      </c>
      <c r="O49" s="20">
        <f>15184327.8-9856957</f>
        <v>5327370.800000001</v>
      </c>
      <c r="P49" s="20"/>
      <c r="Q49" s="20">
        <f>19781115.31-5693867</f>
        <v>14087248.309999999</v>
      </c>
      <c r="R49" s="20">
        <f>7691586.91-5205927</f>
        <v>2485659.91</v>
      </c>
      <c r="S49" s="20">
        <f>15184327.8-10260750</f>
        <v>4923577.800000001</v>
      </c>
      <c r="T49" s="9"/>
    </row>
    <row r="50" spans="1:20" ht="15">
      <c r="A50" s="22">
        <f t="shared" si="2"/>
        <v>34</v>
      </c>
      <c r="B50" s="19" t="s">
        <v>59</v>
      </c>
      <c r="C50" s="20">
        <f>SUM(M50:O50)</f>
        <v>53426163</v>
      </c>
      <c r="D50" s="20">
        <f>SUM(Q50:S50)</f>
        <v>88256001.05</v>
      </c>
      <c r="E50" s="20"/>
      <c r="F50" s="20"/>
      <c r="G50" s="20">
        <f>ROUND(SUM(C50:F50)/2,0)</f>
        <v>70841082</v>
      </c>
      <c r="H50" s="20"/>
      <c r="I50" s="20">
        <f t="shared" si="8"/>
        <v>70841082.025</v>
      </c>
      <c r="J50" s="20">
        <f t="shared" si="8"/>
        <v>0</v>
      </c>
      <c r="K50" s="20">
        <f t="shared" si="8"/>
        <v>0</v>
      </c>
      <c r="L50" s="20"/>
      <c r="M50" s="20">
        <v>53426163</v>
      </c>
      <c r="N50" s="20">
        <v>0</v>
      </c>
      <c r="O50" s="20">
        <v>0</v>
      </c>
      <c r="P50" s="20"/>
      <c r="Q50" s="20">
        <v>88256001.05</v>
      </c>
      <c r="R50" s="20">
        <v>0</v>
      </c>
      <c r="S50" s="20">
        <v>0</v>
      </c>
      <c r="T50" s="9"/>
    </row>
    <row r="51" spans="1:20" ht="15">
      <c r="A51" s="22">
        <f t="shared" si="2"/>
        <v>35</v>
      </c>
      <c r="B51" s="19" t="s">
        <v>60</v>
      </c>
      <c r="C51" s="20">
        <f>SUM(M51:O51)</f>
        <v>94092199.25</v>
      </c>
      <c r="D51" s="20">
        <f>SUM(Q51:S51)</f>
        <v>90913921.35</v>
      </c>
      <c r="E51" s="20"/>
      <c r="F51" s="20"/>
      <c r="G51" s="20">
        <f>ROUND(SUM(C51:F51)/2,0)</f>
        <v>92503060</v>
      </c>
      <c r="H51" s="20"/>
      <c r="I51" s="20">
        <f t="shared" si="8"/>
        <v>92503060.3</v>
      </c>
      <c r="J51" s="20">
        <f t="shared" si="8"/>
        <v>0</v>
      </c>
      <c r="K51" s="20">
        <f t="shared" si="8"/>
        <v>0</v>
      </c>
      <c r="L51" s="20"/>
      <c r="M51" s="20">
        <v>94092199.25</v>
      </c>
      <c r="N51" s="20">
        <v>0</v>
      </c>
      <c r="O51" s="20">
        <v>0</v>
      </c>
      <c r="P51" s="20"/>
      <c r="Q51" s="20">
        <v>90913921.35</v>
      </c>
      <c r="R51" s="20">
        <v>0</v>
      </c>
      <c r="S51" s="20">
        <v>0</v>
      </c>
      <c r="T51" s="9"/>
    </row>
    <row r="52" spans="1:20" ht="15">
      <c r="A52" s="22">
        <f t="shared" si="2"/>
        <v>36</v>
      </c>
      <c r="B52" s="19" t="s">
        <v>61</v>
      </c>
      <c r="C52" s="20">
        <f>SUM(M52:O52)</f>
        <v>2568386.35</v>
      </c>
      <c r="D52" s="20">
        <f>SUM(Q52:S52)</f>
        <v>3260889.9499999997</v>
      </c>
      <c r="E52" s="20"/>
      <c r="F52" s="20"/>
      <c r="G52" s="20">
        <f>ROUND(SUM(C52:F52)/2,0)</f>
        <v>2914638</v>
      </c>
      <c r="H52" s="20"/>
      <c r="I52" s="20">
        <f t="shared" si="8"/>
        <v>0</v>
      </c>
      <c r="J52" s="20">
        <f t="shared" si="8"/>
        <v>295338.2</v>
      </c>
      <c r="K52" s="20">
        <f t="shared" si="8"/>
        <v>2619299.95</v>
      </c>
      <c r="L52" s="20"/>
      <c r="M52" s="20">
        <v>0</v>
      </c>
      <c r="N52" s="20">
        <f>369796-89499</f>
        <v>280297</v>
      </c>
      <c r="O52" s="20">
        <f>2764405.35-476316</f>
        <v>2288089.35</v>
      </c>
      <c r="P52" s="20"/>
      <c r="Q52" s="20">
        <v>0</v>
      </c>
      <c r="R52" s="20">
        <f>414436.4-104057</f>
        <v>310379.4</v>
      </c>
      <c r="S52" s="20">
        <f>3550803.55-600293</f>
        <v>2950510.55</v>
      </c>
      <c r="T52" s="9"/>
    </row>
    <row r="53" spans="1:20" ht="15">
      <c r="A53" s="22">
        <f t="shared" si="2"/>
        <v>37</v>
      </c>
      <c r="B53" s="19" t="s">
        <v>62</v>
      </c>
      <c r="C53" s="20">
        <f>SUM(M53:O53)</f>
        <v>70296.58</v>
      </c>
      <c r="D53" s="20">
        <f>SUM(Q53:S53)</f>
        <v>61775.79</v>
      </c>
      <c r="E53" s="20"/>
      <c r="F53" s="20"/>
      <c r="G53" s="20">
        <f>ROUND(SUM(C53:F53)/2,0)</f>
        <v>66036</v>
      </c>
      <c r="H53" s="20"/>
      <c r="I53" s="20">
        <f t="shared" si="8"/>
        <v>0</v>
      </c>
      <c r="J53" s="20">
        <f t="shared" si="8"/>
        <v>0</v>
      </c>
      <c r="K53" s="20">
        <f t="shared" si="8"/>
        <v>66036.185</v>
      </c>
      <c r="L53" s="20"/>
      <c r="M53" s="20">
        <v>0</v>
      </c>
      <c r="N53" s="20">
        <v>0</v>
      </c>
      <c r="O53" s="20">
        <v>70296.58</v>
      </c>
      <c r="P53" s="20"/>
      <c r="Q53" s="20">
        <v>0</v>
      </c>
      <c r="R53" s="20">
        <v>0</v>
      </c>
      <c r="S53" s="20">
        <v>61775.79</v>
      </c>
      <c r="T53" s="9"/>
    </row>
    <row r="54" spans="1:20" ht="15">
      <c r="A54" s="22">
        <f t="shared" si="2"/>
        <v>38</v>
      </c>
      <c r="B54" s="19" t="s">
        <v>63</v>
      </c>
      <c r="C54" s="20">
        <f>SUM(M54:O54)</f>
        <v>1922.6</v>
      </c>
      <c r="D54" s="20">
        <f>SUM(Q54:S54)</f>
        <v>1922.6</v>
      </c>
      <c r="E54" s="20"/>
      <c r="F54" s="20"/>
      <c r="G54" s="20">
        <f>ROUND(SUM(C54:F54)/2,0)</f>
        <v>1923</v>
      </c>
      <c r="H54" s="20"/>
      <c r="I54" s="20">
        <f t="shared" si="8"/>
        <v>0</v>
      </c>
      <c r="J54" s="20">
        <f t="shared" si="8"/>
        <v>1922.6</v>
      </c>
      <c r="K54" s="20">
        <f t="shared" si="8"/>
        <v>0</v>
      </c>
      <c r="L54" s="20"/>
      <c r="M54" s="20">
        <v>0</v>
      </c>
      <c r="N54" s="20">
        <v>1922.6</v>
      </c>
      <c r="O54" s="20">
        <v>0</v>
      </c>
      <c r="P54" s="20"/>
      <c r="Q54" s="20">
        <v>0</v>
      </c>
      <c r="R54" s="20">
        <v>1922.6</v>
      </c>
      <c r="S54" s="20">
        <v>0</v>
      </c>
      <c r="T54" s="9"/>
    </row>
    <row r="55" spans="1:20" ht="15">
      <c r="A55" s="22">
        <f t="shared" si="2"/>
        <v>39</v>
      </c>
      <c r="B55" s="19" t="s">
        <v>661</v>
      </c>
      <c r="C55" s="20">
        <f t="shared" si="5"/>
        <v>0</v>
      </c>
      <c r="D55" s="20">
        <f t="shared" si="6"/>
        <v>-13749132.6</v>
      </c>
      <c r="E55" s="20"/>
      <c r="F55" s="20"/>
      <c r="G55" s="20">
        <f t="shared" si="7"/>
        <v>-6874566</v>
      </c>
      <c r="H55" s="20"/>
      <c r="I55" s="20">
        <f t="shared" si="8"/>
        <v>-6874566.3</v>
      </c>
      <c r="J55" s="20">
        <f t="shared" si="8"/>
        <v>0</v>
      </c>
      <c r="K55" s="20">
        <f t="shared" si="8"/>
        <v>0</v>
      </c>
      <c r="L55" s="20"/>
      <c r="M55" s="20">
        <v>0</v>
      </c>
      <c r="N55" s="20">
        <v>0</v>
      </c>
      <c r="O55" s="20">
        <v>0</v>
      </c>
      <c r="P55" s="20"/>
      <c r="Q55" s="20">
        <v>-13749132.6</v>
      </c>
      <c r="R55" s="20">
        <v>0</v>
      </c>
      <c r="S55" s="20">
        <v>0</v>
      </c>
      <c r="T55" s="9"/>
    </row>
    <row r="56" spans="1:20" ht="15">
      <c r="A56" s="22">
        <f t="shared" si="2"/>
        <v>40</v>
      </c>
      <c r="B56" s="19" t="s">
        <v>64</v>
      </c>
      <c r="C56" s="20">
        <f t="shared" si="5"/>
        <v>137</v>
      </c>
      <c r="D56" s="20">
        <f t="shared" si="6"/>
        <v>137</v>
      </c>
      <c r="E56" s="20"/>
      <c r="F56" s="20"/>
      <c r="G56" s="20">
        <f t="shared" si="7"/>
        <v>137</v>
      </c>
      <c r="H56" s="20"/>
      <c r="I56" s="20">
        <f t="shared" si="8"/>
        <v>137</v>
      </c>
      <c r="J56" s="20">
        <f t="shared" si="8"/>
        <v>0</v>
      </c>
      <c r="K56" s="20">
        <f t="shared" si="8"/>
        <v>0</v>
      </c>
      <c r="L56" s="20"/>
      <c r="M56" s="20">
        <v>137</v>
      </c>
      <c r="N56" s="20">
        <v>0</v>
      </c>
      <c r="O56" s="20">
        <v>0</v>
      </c>
      <c r="P56" s="20"/>
      <c r="Q56" s="20">
        <v>137</v>
      </c>
      <c r="R56" s="20">
        <v>0</v>
      </c>
      <c r="S56" s="20">
        <v>0</v>
      </c>
      <c r="T56" s="9"/>
    </row>
    <row r="57" spans="1:20" ht="15">
      <c r="A57" s="22">
        <f t="shared" si="2"/>
        <v>41</v>
      </c>
      <c r="B57" s="19" t="s">
        <v>65</v>
      </c>
      <c r="C57" s="20">
        <f>SUM(M57:O57)</f>
        <v>253968.4</v>
      </c>
      <c r="D57" s="20">
        <f>SUM(Q57:S57)</f>
        <v>253968.4</v>
      </c>
      <c r="E57" s="20"/>
      <c r="F57" s="20"/>
      <c r="G57" s="20">
        <f>ROUND(SUM(C57:F57)/2,0)</f>
        <v>253968</v>
      </c>
      <c r="H57" s="20"/>
      <c r="I57" s="20">
        <f>(+M57+Q57)/2</f>
        <v>51786.7</v>
      </c>
      <c r="J57" s="20">
        <f>(+N57+R57)/2</f>
        <v>17010.35</v>
      </c>
      <c r="K57" s="20">
        <f>(+O57+S57)/2</f>
        <v>185171.35</v>
      </c>
      <c r="L57" s="20"/>
      <c r="M57" s="20">
        <v>51786.7</v>
      </c>
      <c r="N57" s="20">
        <v>17010.35</v>
      </c>
      <c r="O57" s="20">
        <v>185171.35</v>
      </c>
      <c r="P57" s="20"/>
      <c r="Q57" s="20">
        <v>51786.7</v>
      </c>
      <c r="R57" s="20">
        <v>17010.35</v>
      </c>
      <c r="S57" s="20">
        <v>185171.35</v>
      </c>
      <c r="T57" s="9"/>
    </row>
    <row r="58" spans="1:20" ht="15">
      <c r="A58" s="22">
        <f t="shared" si="2"/>
        <v>42</v>
      </c>
      <c r="B58" s="19" t="s">
        <v>66</v>
      </c>
      <c r="C58" s="20">
        <f t="shared" si="5"/>
        <v>86907</v>
      </c>
      <c r="D58" s="20">
        <f t="shared" si="6"/>
        <v>42341</v>
      </c>
      <c r="E58" s="20"/>
      <c r="F58" s="20"/>
      <c r="G58" s="20">
        <f t="shared" si="7"/>
        <v>64624</v>
      </c>
      <c r="H58" s="20"/>
      <c r="I58" s="20">
        <f t="shared" si="8"/>
        <v>0</v>
      </c>
      <c r="J58" s="20">
        <f t="shared" si="8"/>
        <v>24143</v>
      </c>
      <c r="K58" s="20">
        <f t="shared" si="8"/>
        <v>40481</v>
      </c>
      <c r="L58" s="20"/>
      <c r="M58" s="20">
        <v>0</v>
      </c>
      <c r="N58" s="20">
        <f>972065-939597</f>
        <v>32468</v>
      </c>
      <c r="O58" s="20">
        <f>1629855-1575416</f>
        <v>54439</v>
      </c>
      <c r="P58" s="20"/>
      <c r="Q58" s="20">
        <v>0</v>
      </c>
      <c r="R58" s="20">
        <f>972065-956247</f>
        <v>15818</v>
      </c>
      <c r="S58" s="20">
        <f>1629855-1603332</f>
        <v>26523</v>
      </c>
      <c r="T58" s="9"/>
    </row>
    <row r="59" spans="1:20" ht="15">
      <c r="A59" s="22">
        <f t="shared" si="2"/>
        <v>43</v>
      </c>
      <c r="B59" s="19" t="s">
        <v>67</v>
      </c>
      <c r="C59" s="20">
        <f t="shared" si="5"/>
        <v>2187867</v>
      </c>
      <c r="D59" s="20">
        <f t="shared" si="6"/>
        <v>2081141</v>
      </c>
      <c r="E59" s="20"/>
      <c r="F59" s="20"/>
      <c r="G59" s="20">
        <f t="shared" si="7"/>
        <v>2134504</v>
      </c>
      <c r="H59" s="20"/>
      <c r="I59" s="20">
        <f t="shared" si="8"/>
        <v>2134504</v>
      </c>
      <c r="J59" s="20">
        <f t="shared" si="8"/>
        <v>0</v>
      </c>
      <c r="K59" s="20">
        <f t="shared" si="8"/>
        <v>0</v>
      </c>
      <c r="L59" s="20"/>
      <c r="M59" s="20">
        <f>3201757-1013890</f>
        <v>2187867</v>
      </c>
      <c r="N59" s="20">
        <v>0</v>
      </c>
      <c r="O59" s="20">
        <v>0</v>
      </c>
      <c r="P59" s="20"/>
      <c r="Q59" s="20">
        <f>3201757-1120616</f>
        <v>2081141</v>
      </c>
      <c r="R59" s="20">
        <v>0</v>
      </c>
      <c r="S59" s="20">
        <v>0</v>
      </c>
      <c r="T59" s="9"/>
    </row>
    <row r="60" spans="1:20" ht="15">
      <c r="A60" s="22">
        <f t="shared" si="2"/>
        <v>44</v>
      </c>
      <c r="B60" s="19" t="s">
        <v>68</v>
      </c>
      <c r="C60" s="20">
        <f>SUM(M60:O60)</f>
        <v>-64317.49</v>
      </c>
      <c r="D60" s="20">
        <f>SUM(Q60:S60)</f>
        <v>-64317.49</v>
      </c>
      <c r="E60" s="20"/>
      <c r="F60" s="20"/>
      <c r="G60" s="20">
        <f>ROUND(SUM(C60:F60)/2,0)</f>
        <v>-64317</v>
      </c>
      <c r="H60" s="20"/>
      <c r="I60" s="20">
        <f>(+M60+Q60)/2</f>
        <v>-64317.49</v>
      </c>
      <c r="J60" s="20">
        <f>(+N60+R60)/2</f>
        <v>0</v>
      </c>
      <c r="K60" s="20">
        <f>(+O60+S60)/2</f>
        <v>0</v>
      </c>
      <c r="L60" s="20"/>
      <c r="M60" s="20">
        <v>-64317.49</v>
      </c>
      <c r="N60" s="20">
        <v>0</v>
      </c>
      <c r="O60" s="20">
        <v>0</v>
      </c>
      <c r="P60" s="20"/>
      <c r="Q60" s="20">
        <v>-64317.49</v>
      </c>
      <c r="R60" s="20">
        <v>0</v>
      </c>
      <c r="S60" s="20">
        <v>0</v>
      </c>
      <c r="T60" s="9"/>
    </row>
    <row r="61" spans="1:20" ht="15">
      <c r="A61" s="22">
        <f t="shared" si="2"/>
        <v>45</v>
      </c>
      <c r="B61" s="19" t="s">
        <v>69</v>
      </c>
      <c r="C61" s="20">
        <f t="shared" si="5"/>
        <v>-798375.82</v>
      </c>
      <c r="D61" s="20">
        <f t="shared" si="6"/>
        <v>9120948.18</v>
      </c>
      <c r="E61" s="20"/>
      <c r="F61" s="20"/>
      <c r="G61" s="20">
        <f t="shared" si="7"/>
        <v>4161286</v>
      </c>
      <c r="H61" s="20"/>
      <c r="I61" s="20">
        <f t="shared" si="8"/>
        <v>4161286.1799999997</v>
      </c>
      <c r="J61" s="20">
        <f t="shared" si="8"/>
        <v>0</v>
      </c>
      <c r="K61" s="20">
        <f t="shared" si="8"/>
        <v>0</v>
      </c>
      <c r="L61" s="20"/>
      <c r="M61" s="20">
        <v>-798375.82</v>
      </c>
      <c r="N61" s="20">
        <v>0</v>
      </c>
      <c r="O61" s="20">
        <v>0</v>
      </c>
      <c r="P61" s="20"/>
      <c r="Q61" s="20">
        <f>-798375.82+9919324</f>
        <v>9120948.18</v>
      </c>
      <c r="R61" s="20">
        <v>0</v>
      </c>
      <c r="S61" s="20">
        <v>0</v>
      </c>
      <c r="T61" s="9"/>
    </row>
    <row r="62" spans="1:20" ht="15">
      <c r="A62" s="22">
        <f t="shared" si="2"/>
        <v>46</v>
      </c>
      <c r="B62" s="19" t="s">
        <v>70</v>
      </c>
      <c r="C62" s="20">
        <f t="shared" si="5"/>
        <v>-316318.7</v>
      </c>
      <c r="D62" s="20">
        <f t="shared" si="6"/>
        <v>-316318.7</v>
      </c>
      <c r="E62" s="20"/>
      <c r="F62" s="20"/>
      <c r="G62" s="20">
        <f t="shared" si="7"/>
        <v>-316319</v>
      </c>
      <c r="H62" s="20"/>
      <c r="I62" s="20">
        <f t="shared" si="8"/>
        <v>-316318.7</v>
      </c>
      <c r="J62" s="20">
        <f t="shared" si="8"/>
        <v>0</v>
      </c>
      <c r="K62" s="20">
        <f t="shared" si="8"/>
        <v>0</v>
      </c>
      <c r="L62" s="20"/>
      <c r="M62" s="20">
        <v>-316318.7</v>
      </c>
      <c r="N62" s="20">
        <v>0</v>
      </c>
      <c r="O62" s="20">
        <v>0</v>
      </c>
      <c r="P62" s="20"/>
      <c r="Q62" s="20">
        <v>-316318.7</v>
      </c>
      <c r="R62" s="20">
        <v>0</v>
      </c>
      <c r="S62" s="20">
        <v>0</v>
      </c>
      <c r="T62" s="9"/>
    </row>
    <row r="63" spans="1:20" ht="15">
      <c r="A63" s="22">
        <f t="shared" si="2"/>
        <v>47</v>
      </c>
      <c r="B63" s="19" t="s">
        <v>71</v>
      </c>
      <c r="C63" s="20">
        <f t="shared" si="5"/>
        <v>312822</v>
      </c>
      <c r="D63" s="20">
        <f t="shared" si="6"/>
        <v>312822</v>
      </c>
      <c r="E63" s="20"/>
      <c r="F63" s="20"/>
      <c r="G63" s="20">
        <f t="shared" si="7"/>
        <v>312822</v>
      </c>
      <c r="H63" s="20"/>
      <c r="I63" s="20">
        <f t="shared" si="8"/>
        <v>312822</v>
      </c>
      <c r="J63" s="20">
        <f t="shared" si="8"/>
        <v>0</v>
      </c>
      <c r="K63" s="20">
        <f t="shared" si="8"/>
        <v>0</v>
      </c>
      <c r="L63" s="20"/>
      <c r="M63" s="20">
        <v>312822</v>
      </c>
      <c r="N63" s="20">
        <v>0</v>
      </c>
      <c r="O63" s="20">
        <v>0</v>
      </c>
      <c r="P63" s="20"/>
      <c r="Q63" s="20">
        <v>312822</v>
      </c>
      <c r="R63" s="20">
        <v>0</v>
      </c>
      <c r="S63" s="20">
        <v>0</v>
      </c>
      <c r="T63" s="9"/>
    </row>
    <row r="64" spans="1:20" ht="15">
      <c r="A64" s="22">
        <f t="shared" si="2"/>
        <v>48</v>
      </c>
      <c r="B64" s="19" t="s">
        <v>72</v>
      </c>
      <c r="C64" s="20">
        <f>SUM(M64:O64)</f>
        <v>-1661681.35</v>
      </c>
      <c r="D64" s="20">
        <f>SUM(Q64:S64)</f>
        <v>-1661681.35</v>
      </c>
      <c r="E64" s="20"/>
      <c r="F64" s="20"/>
      <c r="G64" s="20">
        <f>ROUND(SUM(C64:F64)/2,0)</f>
        <v>-1661681</v>
      </c>
      <c r="H64" s="20"/>
      <c r="I64" s="20">
        <f>(+M64+Q64)/2</f>
        <v>-1661681.35</v>
      </c>
      <c r="J64" s="20">
        <f>(+N64+R64)/2</f>
        <v>0</v>
      </c>
      <c r="K64" s="20">
        <f>(+O64+S64)/2</f>
        <v>0</v>
      </c>
      <c r="L64" s="20"/>
      <c r="M64" s="20">
        <v>-1661681.35</v>
      </c>
      <c r="N64" s="20">
        <v>0</v>
      </c>
      <c r="O64" s="20">
        <v>0</v>
      </c>
      <c r="P64" s="20"/>
      <c r="Q64" s="20">
        <v>-1661681.35</v>
      </c>
      <c r="R64" s="20">
        <v>0</v>
      </c>
      <c r="S64" s="20">
        <v>0</v>
      </c>
      <c r="T64" s="9"/>
    </row>
    <row r="65" spans="1:20" ht="15">
      <c r="A65" s="22">
        <f t="shared" si="2"/>
        <v>49</v>
      </c>
      <c r="B65" s="10" t="s">
        <v>34</v>
      </c>
      <c r="C65" s="20">
        <v>0</v>
      </c>
      <c r="D65" s="20">
        <v>0.49</v>
      </c>
      <c r="E65" s="20">
        <f aca="true" t="shared" si="10" ref="E65:F67">-C65</f>
        <v>0</v>
      </c>
      <c r="F65" s="20">
        <f t="shared" si="10"/>
        <v>-0.49</v>
      </c>
      <c r="G65" s="20">
        <f t="shared" si="7"/>
        <v>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9"/>
    </row>
    <row r="66" spans="1:20" ht="15">
      <c r="A66" s="22">
        <f t="shared" si="2"/>
        <v>50</v>
      </c>
      <c r="B66" s="10" t="s">
        <v>73</v>
      </c>
      <c r="C66" s="20">
        <f>35763853.57+65933959.45+81334252.23</f>
        <v>183032065.25</v>
      </c>
      <c r="D66" s="20">
        <v>178949985.78</v>
      </c>
      <c r="E66" s="20">
        <f t="shared" si="10"/>
        <v>-183032065.25</v>
      </c>
      <c r="F66" s="20">
        <f t="shared" si="10"/>
        <v>-178949985.78</v>
      </c>
      <c r="G66" s="20">
        <f t="shared" si="7"/>
        <v>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9"/>
    </row>
    <row r="67" spans="1:20" ht="15">
      <c r="A67" s="22">
        <f t="shared" si="2"/>
        <v>51</v>
      </c>
      <c r="B67" s="10" t="s">
        <v>74</v>
      </c>
      <c r="C67" s="20">
        <f>-419857-1679654-17208</f>
        <v>-2116719</v>
      </c>
      <c r="D67" s="20">
        <v>-1994779</v>
      </c>
      <c r="E67" s="20">
        <f t="shared" si="10"/>
        <v>2116719</v>
      </c>
      <c r="F67" s="20">
        <f t="shared" si="10"/>
        <v>1994779</v>
      </c>
      <c r="G67" s="20">
        <f t="shared" si="7"/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9"/>
    </row>
    <row r="68" spans="1:20" ht="15">
      <c r="A68" s="22">
        <f t="shared" si="2"/>
        <v>52</v>
      </c>
      <c r="B68" s="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9"/>
    </row>
    <row r="69" spans="1:20" ht="15.75" thickBot="1">
      <c r="A69" s="22">
        <f t="shared" si="2"/>
        <v>53</v>
      </c>
      <c r="B69" s="10" t="s">
        <v>75</v>
      </c>
      <c r="C69" s="23">
        <f>SUM(C30:C68)</f>
        <v>1410333489.1100001</v>
      </c>
      <c r="D69" s="23">
        <f>SUM(D30:D68)</f>
        <v>1641993335.8500004</v>
      </c>
      <c r="E69" s="23">
        <f>SUM(E30:E68)</f>
        <v>-180915346.25</v>
      </c>
      <c r="F69" s="23">
        <f>SUM(F30:F68)</f>
        <v>-176955207.27</v>
      </c>
      <c r="G69" s="23">
        <f>SUM(G30:G68)</f>
        <v>1347228138</v>
      </c>
      <c r="H69" s="23"/>
      <c r="I69" s="23">
        <f>SUM(I30:I68)</f>
        <v>570295401.03</v>
      </c>
      <c r="J69" s="23">
        <f>SUM(J30:J68)</f>
        <v>302612386.7050001</v>
      </c>
      <c r="K69" s="23">
        <f>SUM(K30:K68)</f>
        <v>474320347.9850001</v>
      </c>
      <c r="L69" s="23"/>
      <c r="M69" s="23">
        <f>SUM(M30:M68)</f>
        <v>482571909.44</v>
      </c>
      <c r="N69" s="23">
        <f>SUM(N30:N68)</f>
        <v>289460859.3</v>
      </c>
      <c r="O69" s="23">
        <f>SUM(O30:O68)</f>
        <v>457385374.12</v>
      </c>
      <c r="P69" s="20"/>
      <c r="Q69" s="23">
        <f>SUM(Q30:Q68)</f>
        <v>658018892.6199999</v>
      </c>
      <c r="R69" s="23">
        <f>SUM(R30:R68)</f>
        <v>315763914.1100001</v>
      </c>
      <c r="S69" s="23">
        <f>SUM(S30:S68)</f>
        <v>491255321.8500001</v>
      </c>
      <c r="T69" s="9"/>
    </row>
    <row r="70" spans="1:20" ht="15.75" thickTop="1">
      <c r="A70" s="22">
        <f t="shared" si="2"/>
        <v>54</v>
      </c>
      <c r="B70" s="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0"/>
      <c r="Q70" s="24"/>
      <c r="R70" s="24"/>
      <c r="S70" s="24"/>
      <c r="T70" s="9"/>
    </row>
    <row r="71" spans="1:20" ht="15">
      <c r="A71" s="22">
        <f t="shared" si="2"/>
        <v>55</v>
      </c>
      <c r="B71" s="10"/>
      <c r="C71" s="20"/>
      <c r="D71" s="2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9"/>
    </row>
    <row r="72" spans="1:20" ht="15">
      <c r="A72" s="22">
        <f t="shared" si="2"/>
        <v>56</v>
      </c>
      <c r="B72" s="19" t="s">
        <v>76</v>
      </c>
      <c r="C72" s="20" t="s">
        <v>77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9"/>
    </row>
    <row r="73" spans="1:20" ht="15">
      <c r="A73" s="22">
        <f t="shared" si="2"/>
        <v>57</v>
      </c>
      <c r="B73" s="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9"/>
    </row>
    <row r="74" spans="1:20" ht="15">
      <c r="A74" s="22">
        <f t="shared" si="2"/>
        <v>58</v>
      </c>
      <c r="B74" s="26" t="s">
        <v>78</v>
      </c>
      <c r="C74" s="20">
        <f aca="true" t="shared" si="11" ref="C74:C109">SUM(M74:O74)</f>
        <v>21779029</v>
      </c>
      <c r="D74" s="20">
        <f aca="true" t="shared" si="12" ref="D74:D109">SUM(Q74:S74)</f>
        <v>17941296.1</v>
      </c>
      <c r="E74" s="20"/>
      <c r="F74" s="20"/>
      <c r="G74" s="20">
        <f aca="true" t="shared" si="13" ref="G74:G137">ROUND(SUM(C74:F74)/2,0)</f>
        <v>19860163</v>
      </c>
      <c r="H74" s="20"/>
      <c r="I74" s="20">
        <f aca="true" t="shared" si="14" ref="I74:K89">(+M74+Q74)/2</f>
        <v>19860162.55</v>
      </c>
      <c r="J74" s="20">
        <f t="shared" si="14"/>
        <v>0</v>
      </c>
      <c r="K74" s="20">
        <f t="shared" si="14"/>
        <v>0</v>
      </c>
      <c r="L74" s="20"/>
      <c r="M74" s="20">
        <v>21779029</v>
      </c>
      <c r="N74" s="20">
        <v>0</v>
      </c>
      <c r="O74" s="20">
        <v>0</v>
      </c>
      <c r="P74" s="20"/>
      <c r="Q74" s="20">
        <v>17941296.1</v>
      </c>
      <c r="R74" s="20">
        <v>0</v>
      </c>
      <c r="S74" s="20">
        <v>0</v>
      </c>
      <c r="T74" s="9"/>
    </row>
    <row r="75" spans="1:20" ht="15">
      <c r="A75" s="22">
        <f t="shared" si="2"/>
        <v>59</v>
      </c>
      <c r="B75" s="19" t="s">
        <v>79</v>
      </c>
      <c r="C75" s="20">
        <f>SUM(M75:O75)</f>
        <v>88171992.32</v>
      </c>
      <c r="D75" s="20">
        <f>SUM(Q75:S75)</f>
        <v>0</v>
      </c>
      <c r="E75" s="20"/>
      <c r="F75" s="20"/>
      <c r="G75" s="20">
        <f>ROUND(SUM(C75:F75)/2,0)</f>
        <v>44085996</v>
      </c>
      <c r="H75" s="20"/>
      <c r="I75" s="20">
        <f t="shared" si="14"/>
        <v>44085996.16</v>
      </c>
      <c r="J75" s="20">
        <f t="shared" si="14"/>
        <v>0</v>
      </c>
      <c r="K75" s="20">
        <f t="shared" si="14"/>
        <v>0</v>
      </c>
      <c r="L75" s="20"/>
      <c r="M75" s="20">
        <v>88171992.32</v>
      </c>
      <c r="N75" s="20">
        <v>0</v>
      </c>
      <c r="O75" s="20">
        <v>0</v>
      </c>
      <c r="P75" s="20"/>
      <c r="Q75" s="20">
        <v>0</v>
      </c>
      <c r="R75" s="20">
        <v>0</v>
      </c>
      <c r="S75" s="20">
        <v>0</v>
      </c>
      <c r="T75" s="9"/>
    </row>
    <row r="76" spans="1:20" ht="15">
      <c r="A76" s="22">
        <f t="shared" si="2"/>
        <v>60</v>
      </c>
      <c r="B76" s="19" t="s">
        <v>80</v>
      </c>
      <c r="C76" s="20">
        <f t="shared" si="11"/>
        <v>26216915.73</v>
      </c>
      <c r="D76" s="20">
        <f t="shared" si="12"/>
        <v>13933912.27</v>
      </c>
      <c r="E76" s="20"/>
      <c r="F76" s="20"/>
      <c r="G76" s="20">
        <f t="shared" si="13"/>
        <v>20075414</v>
      </c>
      <c r="H76" s="20"/>
      <c r="I76" s="20">
        <f t="shared" si="14"/>
        <v>20075414</v>
      </c>
      <c r="J76" s="20">
        <f t="shared" si="14"/>
        <v>0</v>
      </c>
      <c r="K76" s="20">
        <f t="shared" si="14"/>
        <v>0</v>
      </c>
      <c r="L76" s="20"/>
      <c r="M76" s="20">
        <v>26216915.73</v>
      </c>
      <c r="N76" s="20">
        <v>0</v>
      </c>
      <c r="O76" s="20">
        <v>0</v>
      </c>
      <c r="P76" s="20"/>
      <c r="Q76" s="20">
        <v>13933912.27</v>
      </c>
      <c r="R76" s="20">
        <v>0</v>
      </c>
      <c r="S76" s="20">
        <v>0</v>
      </c>
      <c r="T76" s="9"/>
    </row>
    <row r="77" spans="1:20" ht="15">
      <c r="A77" s="22">
        <f t="shared" si="2"/>
        <v>61</v>
      </c>
      <c r="B77" s="19" t="s">
        <v>81</v>
      </c>
      <c r="C77" s="20">
        <f t="shared" si="11"/>
        <v>0</v>
      </c>
      <c r="D77" s="20">
        <f t="shared" si="12"/>
        <v>0</v>
      </c>
      <c r="E77" s="20"/>
      <c r="F77" s="20"/>
      <c r="G77" s="20">
        <f t="shared" si="13"/>
        <v>0</v>
      </c>
      <c r="H77" s="20"/>
      <c r="I77" s="20">
        <f t="shared" si="14"/>
        <v>0</v>
      </c>
      <c r="J77" s="20">
        <f t="shared" si="14"/>
        <v>0</v>
      </c>
      <c r="K77" s="20">
        <f t="shared" si="14"/>
        <v>0</v>
      </c>
      <c r="L77" s="20"/>
      <c r="M77" s="20">
        <v>0</v>
      </c>
      <c r="N77" s="20">
        <v>0</v>
      </c>
      <c r="O77" s="20">
        <v>0</v>
      </c>
      <c r="P77" s="20"/>
      <c r="Q77" s="20">
        <v>0</v>
      </c>
      <c r="R77" s="20">
        <v>0</v>
      </c>
      <c r="S77" s="20">
        <v>0</v>
      </c>
      <c r="T77" s="9"/>
    </row>
    <row r="78" spans="1:20" ht="15">
      <c r="A78" s="22">
        <f t="shared" si="2"/>
        <v>62</v>
      </c>
      <c r="B78" s="19" t="s">
        <v>82</v>
      </c>
      <c r="C78" s="20">
        <f t="shared" si="11"/>
        <v>-1560250.94</v>
      </c>
      <c r="D78" s="20">
        <f t="shared" si="12"/>
        <v>0</v>
      </c>
      <c r="E78" s="20"/>
      <c r="F78" s="20"/>
      <c r="G78" s="20">
        <f t="shared" si="13"/>
        <v>-780125</v>
      </c>
      <c r="H78" s="20"/>
      <c r="I78" s="20">
        <f t="shared" si="14"/>
        <v>-780125.47</v>
      </c>
      <c r="J78" s="20">
        <f t="shared" si="14"/>
        <v>0</v>
      </c>
      <c r="K78" s="20">
        <f t="shared" si="14"/>
        <v>0</v>
      </c>
      <c r="L78" s="20"/>
      <c r="M78" s="20">
        <v>-1560250.94</v>
      </c>
      <c r="N78" s="20">
        <v>0</v>
      </c>
      <c r="O78" s="20">
        <v>0</v>
      </c>
      <c r="P78" s="20"/>
      <c r="Q78" s="20">
        <v>0</v>
      </c>
      <c r="R78" s="20">
        <v>0</v>
      </c>
      <c r="S78" s="20">
        <v>0</v>
      </c>
      <c r="T78" s="9"/>
    </row>
    <row r="79" spans="1:20" ht="15">
      <c r="A79" s="22">
        <f t="shared" si="2"/>
        <v>63</v>
      </c>
      <c r="B79" s="19" t="s">
        <v>83</v>
      </c>
      <c r="C79" s="20">
        <f>SUM(M79:O79)</f>
        <v>0</v>
      </c>
      <c r="D79" s="20">
        <f>SUM(Q79:S79)</f>
        <v>0</v>
      </c>
      <c r="E79" s="20"/>
      <c r="F79" s="20"/>
      <c r="G79" s="20">
        <f t="shared" si="13"/>
        <v>0</v>
      </c>
      <c r="H79" s="20"/>
      <c r="I79" s="20">
        <f t="shared" si="14"/>
        <v>0</v>
      </c>
      <c r="J79" s="20">
        <f t="shared" si="14"/>
        <v>0</v>
      </c>
      <c r="K79" s="20">
        <f t="shared" si="14"/>
        <v>0</v>
      </c>
      <c r="L79" s="20"/>
      <c r="M79" s="20">
        <v>0</v>
      </c>
      <c r="N79" s="20">
        <v>0</v>
      </c>
      <c r="O79" s="20">
        <v>0</v>
      </c>
      <c r="P79" s="20"/>
      <c r="Q79" s="20">
        <v>0</v>
      </c>
      <c r="R79" s="20">
        <v>0</v>
      </c>
      <c r="S79" s="20">
        <v>0</v>
      </c>
      <c r="T79" s="9"/>
    </row>
    <row r="80" spans="1:20" ht="15">
      <c r="A80" s="22">
        <f t="shared" si="2"/>
        <v>64</v>
      </c>
      <c r="B80" s="19" t="s">
        <v>84</v>
      </c>
      <c r="C80" s="20">
        <f>SUM(M80:O80)</f>
        <v>3071255.25</v>
      </c>
      <c r="D80" s="20">
        <f>SUM(Q80:S80)</f>
        <v>0</v>
      </c>
      <c r="E80" s="20"/>
      <c r="F80" s="20"/>
      <c r="G80" s="20">
        <f>ROUND(SUM(C80:F80)/2,0)</f>
        <v>1535628</v>
      </c>
      <c r="H80" s="20"/>
      <c r="I80" s="20">
        <f t="shared" si="14"/>
        <v>1535627.625</v>
      </c>
      <c r="J80" s="20">
        <f t="shared" si="14"/>
        <v>0</v>
      </c>
      <c r="K80" s="20">
        <f t="shared" si="14"/>
        <v>0</v>
      </c>
      <c r="L80" s="20"/>
      <c r="M80" s="20">
        <v>3071255.25</v>
      </c>
      <c r="N80" s="20">
        <v>0</v>
      </c>
      <c r="O80" s="20">
        <v>0</v>
      </c>
      <c r="P80" s="20"/>
      <c r="Q80" s="20">
        <v>0</v>
      </c>
      <c r="R80" s="20">
        <v>0</v>
      </c>
      <c r="S80" s="20">
        <v>0</v>
      </c>
      <c r="T80" s="9"/>
    </row>
    <row r="81" spans="1:20" ht="15">
      <c r="A81" s="22">
        <f t="shared" si="2"/>
        <v>65</v>
      </c>
      <c r="B81" s="26" t="s">
        <v>662</v>
      </c>
      <c r="C81" s="20">
        <f>SUM(M81:O81)</f>
        <v>0</v>
      </c>
      <c r="D81" s="20">
        <f>SUM(Q81:S81)</f>
        <v>7184968.35</v>
      </c>
      <c r="E81" s="20"/>
      <c r="F81" s="20"/>
      <c r="G81" s="20">
        <f>ROUND(SUM(C81:F81)/2,0)</f>
        <v>3592484</v>
      </c>
      <c r="H81" s="20"/>
      <c r="I81" s="20">
        <f>(+M81+Q81)/2</f>
        <v>3592484.175</v>
      </c>
      <c r="J81" s="20">
        <f>(+N81+R81)/2</f>
        <v>0</v>
      </c>
      <c r="K81" s="20">
        <f>(+O81+S81)/2</f>
        <v>0</v>
      </c>
      <c r="L81" s="20"/>
      <c r="M81" s="20">
        <v>0</v>
      </c>
      <c r="N81" s="20">
        <v>0</v>
      </c>
      <c r="O81" s="20">
        <v>0</v>
      </c>
      <c r="P81" s="20"/>
      <c r="Q81" s="20">
        <v>7184968.35</v>
      </c>
      <c r="R81" s="20">
        <v>0</v>
      </c>
      <c r="S81" s="20">
        <v>0</v>
      </c>
      <c r="T81" s="9"/>
    </row>
    <row r="82" spans="1:20" ht="15">
      <c r="A82" s="22">
        <f aca="true" t="shared" si="15" ref="A82:A145">A81+1</f>
        <v>66</v>
      </c>
      <c r="B82" s="19" t="s">
        <v>85</v>
      </c>
      <c r="C82" s="20">
        <f t="shared" si="11"/>
        <v>7840489.57</v>
      </c>
      <c r="D82" s="20">
        <f t="shared" si="12"/>
        <v>4262535.9</v>
      </c>
      <c r="E82" s="20"/>
      <c r="F82" s="20"/>
      <c r="G82" s="20">
        <f t="shared" si="13"/>
        <v>6051513</v>
      </c>
      <c r="H82" s="20"/>
      <c r="I82" s="20">
        <f t="shared" si="14"/>
        <v>1394038.48</v>
      </c>
      <c r="J82" s="20">
        <f t="shared" si="14"/>
        <v>1348268.225</v>
      </c>
      <c r="K82" s="20">
        <f t="shared" si="14"/>
        <v>3309206.0300000003</v>
      </c>
      <c r="L82" s="20"/>
      <c r="M82" s="20">
        <v>3048036.66</v>
      </c>
      <c r="N82" s="20">
        <v>1485538.92</v>
      </c>
      <c r="O82" s="20">
        <v>3306913.99</v>
      </c>
      <c r="P82" s="20"/>
      <c r="Q82" s="20">
        <v>-259959.7</v>
      </c>
      <c r="R82" s="20">
        <v>1210997.53</v>
      </c>
      <c r="S82" s="20">
        <v>3311498.07</v>
      </c>
      <c r="T82" s="9"/>
    </row>
    <row r="83" spans="1:20" ht="15">
      <c r="A83" s="22">
        <f t="shared" si="15"/>
        <v>67</v>
      </c>
      <c r="B83" s="26" t="s">
        <v>663</v>
      </c>
      <c r="C83" s="20">
        <f>SUM(M83:O83)</f>
        <v>0</v>
      </c>
      <c r="D83" s="20">
        <f>SUM(Q83:S83)</f>
        <v>1897034</v>
      </c>
      <c r="E83" s="20"/>
      <c r="F83" s="20"/>
      <c r="G83" s="20">
        <f>ROUND(SUM(C83:F83)/2,0)</f>
        <v>948517</v>
      </c>
      <c r="H83" s="20"/>
      <c r="I83" s="20">
        <f t="shared" si="14"/>
        <v>948517</v>
      </c>
      <c r="J83" s="20">
        <f t="shared" si="14"/>
        <v>0</v>
      </c>
      <c r="K83" s="20">
        <f t="shared" si="14"/>
        <v>0</v>
      </c>
      <c r="L83" s="20"/>
      <c r="M83" s="20">
        <v>0</v>
      </c>
      <c r="N83" s="20">
        <v>0</v>
      </c>
      <c r="O83" s="20">
        <v>0</v>
      </c>
      <c r="P83" s="20"/>
      <c r="Q83" s="20">
        <v>1897034</v>
      </c>
      <c r="R83" s="20">
        <v>0</v>
      </c>
      <c r="S83" s="20">
        <v>0</v>
      </c>
      <c r="T83" s="9"/>
    </row>
    <row r="84" spans="1:20" ht="15">
      <c r="A84" s="22">
        <f t="shared" si="15"/>
        <v>68</v>
      </c>
      <c r="B84" s="26" t="s">
        <v>664</v>
      </c>
      <c r="C84" s="20">
        <f>SUM(M84:O84)</f>
        <v>0</v>
      </c>
      <c r="D84" s="20">
        <f>SUM(Q84:S84)</f>
        <v>130834377.1</v>
      </c>
      <c r="E84" s="20"/>
      <c r="F84" s="20"/>
      <c r="G84" s="20">
        <f>ROUND(SUM(C84:F84)/2,0)</f>
        <v>65417189</v>
      </c>
      <c r="H84" s="20"/>
      <c r="I84" s="20">
        <f t="shared" si="14"/>
        <v>65417188.55</v>
      </c>
      <c r="J84" s="20">
        <f t="shared" si="14"/>
        <v>0</v>
      </c>
      <c r="K84" s="20">
        <f t="shared" si="14"/>
        <v>0</v>
      </c>
      <c r="L84" s="20"/>
      <c r="M84" s="20">
        <v>0</v>
      </c>
      <c r="N84" s="20">
        <v>0</v>
      </c>
      <c r="O84" s="20">
        <v>0</v>
      </c>
      <c r="P84" s="20"/>
      <c r="Q84" s="20">
        <v>130834377.1</v>
      </c>
      <c r="R84" s="20">
        <v>0</v>
      </c>
      <c r="S84" s="20">
        <v>0</v>
      </c>
      <c r="T84" s="9"/>
    </row>
    <row r="85" spans="1:20" ht="15">
      <c r="A85" s="22">
        <f t="shared" si="15"/>
        <v>69</v>
      </c>
      <c r="B85" s="19" t="s">
        <v>86</v>
      </c>
      <c r="C85" s="20">
        <f t="shared" si="11"/>
        <v>17550823.5</v>
      </c>
      <c r="D85" s="20">
        <f t="shared" si="12"/>
        <v>10614836.049999999</v>
      </c>
      <c r="E85" s="20"/>
      <c r="F85" s="20"/>
      <c r="G85" s="20">
        <f t="shared" si="13"/>
        <v>14082830</v>
      </c>
      <c r="H85" s="20"/>
      <c r="I85" s="20">
        <f t="shared" si="14"/>
        <v>14082829.774999999</v>
      </c>
      <c r="J85" s="20">
        <f t="shared" si="14"/>
        <v>0</v>
      </c>
      <c r="K85" s="20">
        <f t="shared" si="14"/>
        <v>0</v>
      </c>
      <c r="L85" s="20"/>
      <c r="M85" s="20">
        <f>17704745.57-153922.07</f>
        <v>17550823.5</v>
      </c>
      <c r="N85" s="20">
        <v>0</v>
      </c>
      <c r="O85" s="20">
        <v>0</v>
      </c>
      <c r="P85" s="20"/>
      <c r="Q85" s="20">
        <f>10768758.12-153922.07</f>
        <v>10614836.049999999</v>
      </c>
      <c r="R85" s="20">
        <v>0</v>
      </c>
      <c r="S85" s="20">
        <v>0</v>
      </c>
      <c r="T85" s="9"/>
    </row>
    <row r="86" spans="1:20" ht="15">
      <c r="A86" s="22">
        <f t="shared" si="15"/>
        <v>70</v>
      </c>
      <c r="B86" s="19" t="s">
        <v>87</v>
      </c>
      <c r="C86" s="20">
        <f t="shared" si="11"/>
        <v>-46104.8</v>
      </c>
      <c r="D86" s="20">
        <f t="shared" si="12"/>
        <v>-634922.4</v>
      </c>
      <c r="E86" s="20"/>
      <c r="F86" s="20"/>
      <c r="G86" s="20">
        <f t="shared" si="13"/>
        <v>-340514</v>
      </c>
      <c r="H86" s="20"/>
      <c r="I86" s="20">
        <f t="shared" si="14"/>
        <v>-340513.60000000003</v>
      </c>
      <c r="J86" s="20">
        <f t="shared" si="14"/>
        <v>0</v>
      </c>
      <c r="K86" s="20">
        <f t="shared" si="14"/>
        <v>0</v>
      </c>
      <c r="L86" s="20"/>
      <c r="M86" s="20">
        <v>-46104.8</v>
      </c>
      <c r="N86" s="20">
        <v>0</v>
      </c>
      <c r="O86" s="20">
        <v>0</v>
      </c>
      <c r="P86" s="20"/>
      <c r="Q86" s="20">
        <v>-634922.4</v>
      </c>
      <c r="R86" s="20">
        <v>0</v>
      </c>
      <c r="S86" s="20">
        <v>0</v>
      </c>
      <c r="T86" s="9"/>
    </row>
    <row r="87" spans="1:20" ht="15">
      <c r="A87" s="22">
        <f t="shared" si="15"/>
        <v>71</v>
      </c>
      <c r="B87" s="19" t="s">
        <v>88</v>
      </c>
      <c r="C87" s="20">
        <f t="shared" si="11"/>
        <v>61790202.36</v>
      </c>
      <c r="D87" s="20">
        <f t="shared" si="12"/>
        <v>55744179.14</v>
      </c>
      <c r="E87" s="20"/>
      <c r="F87" s="20"/>
      <c r="G87" s="20">
        <f t="shared" si="13"/>
        <v>58767191</v>
      </c>
      <c r="H87" s="20"/>
      <c r="I87" s="20">
        <f t="shared" si="14"/>
        <v>24863579.605</v>
      </c>
      <c r="J87" s="20">
        <f t="shared" si="14"/>
        <v>2799995.325</v>
      </c>
      <c r="K87" s="20">
        <f t="shared" si="14"/>
        <v>31103615.82</v>
      </c>
      <c r="L87" s="20"/>
      <c r="M87" s="20">
        <v>26442953.51</v>
      </c>
      <c r="N87" s="20">
        <v>2939720.9</v>
      </c>
      <c r="O87" s="20">
        <v>32407527.95</v>
      </c>
      <c r="P87" s="20"/>
      <c r="Q87" s="20">
        <v>23284205.7</v>
      </c>
      <c r="R87" s="20">
        <v>2660269.75</v>
      </c>
      <c r="S87" s="20">
        <v>29799703.69</v>
      </c>
      <c r="T87" s="9"/>
    </row>
    <row r="88" spans="1:20" ht="15">
      <c r="A88" s="22">
        <f t="shared" si="15"/>
        <v>72</v>
      </c>
      <c r="B88" s="19" t="s">
        <v>89</v>
      </c>
      <c r="C88" s="20">
        <f t="shared" si="11"/>
        <v>-104742968.05000001</v>
      </c>
      <c r="D88" s="20">
        <f t="shared" si="12"/>
        <v>-76201445.6</v>
      </c>
      <c r="E88" s="20"/>
      <c r="F88" s="20"/>
      <c r="G88" s="20">
        <f t="shared" si="13"/>
        <v>-90472207</v>
      </c>
      <c r="H88" s="20"/>
      <c r="I88" s="20">
        <f t="shared" si="14"/>
        <v>-35130855.9</v>
      </c>
      <c r="J88" s="20">
        <f t="shared" si="14"/>
        <v>-6139278.95</v>
      </c>
      <c r="K88" s="20">
        <f t="shared" si="14"/>
        <v>-49202071.975</v>
      </c>
      <c r="L88" s="20"/>
      <c r="M88" s="20">
        <v>-41391033.25</v>
      </c>
      <c r="N88" s="20">
        <v>-7230326.95</v>
      </c>
      <c r="O88" s="20">
        <v>-56121607.85</v>
      </c>
      <c r="P88" s="20"/>
      <c r="Q88" s="20">
        <v>-28870678.55</v>
      </c>
      <c r="R88" s="20">
        <v>-5048230.95</v>
      </c>
      <c r="S88" s="20">
        <v>-42282536.1</v>
      </c>
      <c r="T88" s="9"/>
    </row>
    <row r="89" spans="1:20" ht="15">
      <c r="A89" s="22">
        <f t="shared" si="15"/>
        <v>73</v>
      </c>
      <c r="B89" s="19" t="s">
        <v>90</v>
      </c>
      <c r="C89" s="20">
        <f t="shared" si="11"/>
        <v>1304253.46</v>
      </c>
      <c r="D89" s="20">
        <f t="shared" si="12"/>
        <v>1022514.51</v>
      </c>
      <c r="E89" s="20"/>
      <c r="F89" s="20"/>
      <c r="G89" s="20">
        <f t="shared" si="13"/>
        <v>1163384</v>
      </c>
      <c r="H89" s="20"/>
      <c r="I89" s="20">
        <f t="shared" si="14"/>
        <v>0</v>
      </c>
      <c r="J89" s="20">
        <f t="shared" si="14"/>
        <v>1163383.9849999999</v>
      </c>
      <c r="K89" s="20">
        <f t="shared" si="14"/>
        <v>0</v>
      </c>
      <c r="L89" s="20"/>
      <c r="M89" s="20">
        <v>0</v>
      </c>
      <c r="N89" s="20">
        <v>1304253.46</v>
      </c>
      <c r="O89" s="20">
        <v>0</v>
      </c>
      <c r="P89" s="20"/>
      <c r="Q89" s="20">
        <v>0</v>
      </c>
      <c r="R89" s="20">
        <v>1022514.51</v>
      </c>
      <c r="S89" s="20">
        <v>0</v>
      </c>
      <c r="T89" s="9"/>
    </row>
    <row r="90" spans="1:20" ht="15">
      <c r="A90" s="22">
        <f t="shared" si="15"/>
        <v>74</v>
      </c>
      <c r="B90" s="19" t="s">
        <v>91</v>
      </c>
      <c r="C90" s="20">
        <f t="shared" si="11"/>
        <v>17463809.3</v>
      </c>
      <c r="D90" s="20">
        <f t="shared" si="12"/>
        <v>13858741.4</v>
      </c>
      <c r="E90" s="20"/>
      <c r="F90" s="20"/>
      <c r="G90" s="20">
        <f t="shared" si="13"/>
        <v>15661275</v>
      </c>
      <c r="H90" s="20"/>
      <c r="I90" s="20">
        <f aca="true" t="shared" si="16" ref="I90:K105">(+M90+Q90)/2</f>
        <v>15661275.350000001</v>
      </c>
      <c r="J90" s="20">
        <f t="shared" si="16"/>
        <v>0</v>
      </c>
      <c r="K90" s="20">
        <f t="shared" si="16"/>
        <v>0</v>
      </c>
      <c r="L90" s="20"/>
      <c r="M90" s="20">
        <v>17463809.3</v>
      </c>
      <c r="N90" s="20">
        <v>0</v>
      </c>
      <c r="O90" s="20">
        <v>0</v>
      </c>
      <c r="P90" s="20"/>
      <c r="Q90" s="20">
        <v>13858741.4</v>
      </c>
      <c r="R90" s="20">
        <v>0</v>
      </c>
      <c r="S90" s="20">
        <v>0</v>
      </c>
      <c r="T90" s="9"/>
    </row>
    <row r="91" spans="1:20" ht="15">
      <c r="A91" s="22">
        <f t="shared" si="15"/>
        <v>75</v>
      </c>
      <c r="B91" s="19" t="s">
        <v>92</v>
      </c>
      <c r="C91" s="20">
        <f t="shared" si="11"/>
        <v>91992.6</v>
      </c>
      <c r="D91" s="20">
        <f t="shared" si="12"/>
        <v>45312.05</v>
      </c>
      <c r="E91" s="20"/>
      <c r="F91" s="20"/>
      <c r="G91" s="20">
        <f t="shared" si="13"/>
        <v>68652</v>
      </c>
      <c r="H91" s="20"/>
      <c r="I91" s="20">
        <f t="shared" si="16"/>
        <v>0</v>
      </c>
      <c r="J91" s="20">
        <f t="shared" si="16"/>
        <v>23161.25</v>
      </c>
      <c r="K91" s="20">
        <f t="shared" si="16"/>
        <v>45491.075</v>
      </c>
      <c r="L91" s="20"/>
      <c r="M91" s="20">
        <v>0</v>
      </c>
      <c r="N91" s="20">
        <v>27480.6</v>
      </c>
      <c r="O91" s="25">
        <v>64512</v>
      </c>
      <c r="P91" s="20"/>
      <c r="Q91" s="20">
        <v>0</v>
      </c>
      <c r="R91" s="20">
        <v>18841.9</v>
      </c>
      <c r="S91" s="25">
        <v>26470.15</v>
      </c>
      <c r="T91" s="9"/>
    </row>
    <row r="92" spans="1:20" ht="15">
      <c r="A92" s="22">
        <f t="shared" si="15"/>
        <v>76</v>
      </c>
      <c r="B92" s="19" t="s">
        <v>93</v>
      </c>
      <c r="C92" s="20">
        <f t="shared" si="11"/>
        <v>-27427.4</v>
      </c>
      <c r="D92" s="20">
        <f t="shared" si="12"/>
        <v>-15741.95</v>
      </c>
      <c r="E92" s="20"/>
      <c r="F92" s="20"/>
      <c r="G92" s="20">
        <f t="shared" si="13"/>
        <v>-21585</v>
      </c>
      <c r="H92" s="20"/>
      <c r="I92" s="20">
        <f t="shared" si="16"/>
        <v>0</v>
      </c>
      <c r="J92" s="20">
        <f t="shared" si="16"/>
        <v>-13736.8</v>
      </c>
      <c r="K92" s="20">
        <f t="shared" si="16"/>
        <v>-7847.875</v>
      </c>
      <c r="L92" s="20"/>
      <c r="M92" s="20">
        <v>0</v>
      </c>
      <c r="N92" s="20">
        <v>-16298.45</v>
      </c>
      <c r="O92" s="20">
        <v>-11128.95</v>
      </c>
      <c r="P92" s="20"/>
      <c r="Q92" s="20">
        <v>0</v>
      </c>
      <c r="R92" s="20">
        <v>-11175.15</v>
      </c>
      <c r="S92" s="20">
        <v>-4566.8</v>
      </c>
      <c r="T92" s="9"/>
    </row>
    <row r="93" spans="1:20" ht="15">
      <c r="A93" s="22">
        <f t="shared" si="15"/>
        <v>77</v>
      </c>
      <c r="B93" s="19" t="s">
        <v>94</v>
      </c>
      <c r="C93" s="20">
        <f t="shared" si="11"/>
        <v>45339374.77</v>
      </c>
      <c r="D93" s="20">
        <f t="shared" si="12"/>
        <v>32715675.08</v>
      </c>
      <c r="E93" s="20"/>
      <c r="F93" s="20"/>
      <c r="G93" s="20">
        <f t="shared" si="13"/>
        <v>39027525</v>
      </c>
      <c r="H93" s="20"/>
      <c r="I93" s="20">
        <f t="shared" si="16"/>
        <v>0</v>
      </c>
      <c r="J93" s="20">
        <f t="shared" si="16"/>
        <v>0</v>
      </c>
      <c r="K93" s="20">
        <f t="shared" si="16"/>
        <v>39027524.925</v>
      </c>
      <c r="L93" s="20"/>
      <c r="M93" s="20">
        <v>0</v>
      </c>
      <c r="N93" s="20">
        <v>0</v>
      </c>
      <c r="O93" s="20">
        <v>45339374.77</v>
      </c>
      <c r="P93" s="20"/>
      <c r="Q93" s="20">
        <v>0</v>
      </c>
      <c r="R93" s="20">
        <v>0</v>
      </c>
      <c r="S93" s="20">
        <v>32715675.08</v>
      </c>
      <c r="T93" s="9"/>
    </row>
    <row r="94" spans="1:20" ht="15">
      <c r="A94" s="22">
        <f t="shared" si="15"/>
        <v>78</v>
      </c>
      <c r="B94" s="19" t="s">
        <v>95</v>
      </c>
      <c r="C94" s="20">
        <f t="shared" si="11"/>
        <v>0.27999999999999997</v>
      </c>
      <c r="D94" s="20">
        <f t="shared" si="12"/>
        <v>0.12</v>
      </c>
      <c r="E94" s="20"/>
      <c r="F94" s="20"/>
      <c r="G94" s="20">
        <f t="shared" si="13"/>
        <v>0</v>
      </c>
      <c r="H94" s="20"/>
      <c r="I94" s="20">
        <f t="shared" si="16"/>
        <v>0.08</v>
      </c>
      <c r="J94" s="20">
        <f t="shared" si="16"/>
        <v>0.08</v>
      </c>
      <c r="K94" s="20">
        <f t="shared" si="16"/>
        <v>0.04</v>
      </c>
      <c r="L94" s="20"/>
      <c r="M94" s="20">
        <v>0.08</v>
      </c>
      <c r="N94" s="20">
        <v>0.16</v>
      </c>
      <c r="O94" s="20">
        <v>0.04</v>
      </c>
      <c r="P94" s="20"/>
      <c r="Q94" s="20">
        <v>0.08</v>
      </c>
      <c r="R94" s="20">
        <v>0</v>
      </c>
      <c r="S94" s="20">
        <v>0.04</v>
      </c>
      <c r="T94" s="9"/>
    </row>
    <row r="95" spans="1:20" ht="15">
      <c r="A95" s="22">
        <f t="shared" si="15"/>
        <v>79</v>
      </c>
      <c r="B95" s="26" t="s">
        <v>665</v>
      </c>
      <c r="C95" s="20">
        <f t="shared" si="11"/>
        <v>0</v>
      </c>
      <c r="D95" s="20">
        <f t="shared" si="12"/>
        <v>154926</v>
      </c>
      <c r="E95" s="20"/>
      <c r="F95" s="20"/>
      <c r="G95" s="20">
        <f t="shared" si="13"/>
        <v>77463</v>
      </c>
      <c r="H95" s="20"/>
      <c r="I95" s="20">
        <f t="shared" si="16"/>
        <v>77463</v>
      </c>
      <c r="J95" s="20">
        <f t="shared" si="16"/>
        <v>0</v>
      </c>
      <c r="K95" s="20">
        <f t="shared" si="16"/>
        <v>0</v>
      </c>
      <c r="L95" s="20"/>
      <c r="M95" s="20">
        <v>0</v>
      </c>
      <c r="N95" s="20">
        <v>0</v>
      </c>
      <c r="O95" s="20">
        <v>0</v>
      </c>
      <c r="P95" s="20"/>
      <c r="Q95" s="20">
        <v>154926</v>
      </c>
      <c r="R95" s="20">
        <v>0</v>
      </c>
      <c r="S95" s="20">
        <v>0</v>
      </c>
      <c r="T95" s="9"/>
    </row>
    <row r="96" spans="1:20" ht="15">
      <c r="A96" s="22">
        <f t="shared" si="15"/>
        <v>80</v>
      </c>
      <c r="B96" s="19" t="s">
        <v>96</v>
      </c>
      <c r="C96" s="20">
        <f>SUM(M96:O96)</f>
        <v>6571592.25</v>
      </c>
      <c r="D96" s="20">
        <f>SUM(Q96:S96)</f>
        <v>9766184.7</v>
      </c>
      <c r="E96" s="20"/>
      <c r="F96" s="20"/>
      <c r="G96" s="20">
        <f>ROUND(SUM(C96:F96)/2,0)</f>
        <v>8168888</v>
      </c>
      <c r="H96" s="20"/>
      <c r="I96" s="20">
        <f>(+M96+Q96)/2</f>
        <v>8168888.475</v>
      </c>
      <c r="J96" s="20">
        <f>(+N96+R96)/2</f>
        <v>0</v>
      </c>
      <c r="K96" s="20">
        <f>(+O96+S96)/2</f>
        <v>0</v>
      </c>
      <c r="L96" s="20"/>
      <c r="M96" s="20">
        <v>6571592.25</v>
      </c>
      <c r="N96" s="20">
        <v>0</v>
      </c>
      <c r="O96" s="20">
        <v>0</v>
      </c>
      <c r="P96" s="20"/>
      <c r="Q96" s="20">
        <f>8000168.7+1766016</f>
        <v>9766184.7</v>
      </c>
      <c r="R96" s="20">
        <v>0</v>
      </c>
      <c r="S96" s="20">
        <v>0</v>
      </c>
      <c r="T96" s="9"/>
    </row>
    <row r="97" spans="1:20" ht="15">
      <c r="A97" s="22">
        <f t="shared" si="15"/>
        <v>81</v>
      </c>
      <c r="B97" s="19" t="s">
        <v>97</v>
      </c>
      <c r="C97" s="20">
        <f t="shared" si="11"/>
        <v>-61617.85</v>
      </c>
      <c r="D97" s="20">
        <f t="shared" si="12"/>
        <v>-375757.85</v>
      </c>
      <c r="E97" s="20"/>
      <c r="F97" s="20"/>
      <c r="G97" s="20">
        <f t="shared" si="13"/>
        <v>-218688</v>
      </c>
      <c r="H97" s="20"/>
      <c r="I97" s="20">
        <f t="shared" si="16"/>
        <v>-218687.84999999998</v>
      </c>
      <c r="J97" s="20">
        <f t="shared" si="16"/>
        <v>0</v>
      </c>
      <c r="K97" s="20">
        <f t="shared" si="16"/>
        <v>0</v>
      </c>
      <c r="L97" s="20"/>
      <c r="M97" s="20">
        <v>-61617.85</v>
      </c>
      <c r="N97" s="20">
        <v>0</v>
      </c>
      <c r="O97" s="20">
        <v>0</v>
      </c>
      <c r="P97" s="20"/>
      <c r="Q97" s="20">
        <f>-61617.85-314140</f>
        <v>-375757.85</v>
      </c>
      <c r="R97" s="20">
        <v>0</v>
      </c>
      <c r="S97" s="20">
        <v>0</v>
      </c>
      <c r="T97" s="9"/>
    </row>
    <row r="98" spans="1:20" ht="15">
      <c r="A98" s="22">
        <f t="shared" si="15"/>
        <v>82</v>
      </c>
      <c r="B98" s="19" t="s">
        <v>98</v>
      </c>
      <c r="C98" s="20">
        <f t="shared" si="11"/>
        <v>0.25</v>
      </c>
      <c r="D98" s="20">
        <f t="shared" si="12"/>
        <v>-11908</v>
      </c>
      <c r="E98" s="20"/>
      <c r="F98" s="20"/>
      <c r="G98" s="20">
        <f t="shared" si="13"/>
        <v>-5954</v>
      </c>
      <c r="H98" s="20"/>
      <c r="I98" s="20">
        <f t="shared" si="16"/>
        <v>-5953.875</v>
      </c>
      <c r="J98" s="20">
        <f t="shared" si="16"/>
        <v>0</v>
      </c>
      <c r="K98" s="20">
        <f t="shared" si="16"/>
        <v>0</v>
      </c>
      <c r="L98" s="20"/>
      <c r="M98" s="20">
        <v>0.25</v>
      </c>
      <c r="N98" s="20">
        <v>0</v>
      </c>
      <c r="O98" s="20">
        <v>0</v>
      </c>
      <c r="P98" s="20"/>
      <c r="Q98" s="20">
        <v>-11908</v>
      </c>
      <c r="R98" s="20">
        <v>0</v>
      </c>
      <c r="S98" s="20">
        <v>0</v>
      </c>
      <c r="T98" s="9"/>
    </row>
    <row r="99" spans="1:20" ht="15">
      <c r="A99" s="22">
        <f t="shared" si="15"/>
        <v>83</v>
      </c>
      <c r="B99" s="26" t="s">
        <v>194</v>
      </c>
      <c r="C99" s="20">
        <f>SUM(M99:O99)</f>
        <v>0.25</v>
      </c>
      <c r="D99" s="20">
        <f>SUM(Q99:S99)</f>
        <v>105145</v>
      </c>
      <c r="E99" s="20"/>
      <c r="F99" s="20"/>
      <c r="G99" s="20">
        <f>ROUND(SUM(C99:F99)/2,0)</f>
        <v>52573</v>
      </c>
      <c r="H99" s="20"/>
      <c r="I99" s="20">
        <f>(+M99+Q99)/2</f>
        <v>52572.625</v>
      </c>
      <c r="J99" s="20">
        <f>(+N99+R99)/2</f>
        <v>0</v>
      </c>
      <c r="K99" s="20">
        <f>(+O99+S99)/2</f>
        <v>0</v>
      </c>
      <c r="L99" s="20"/>
      <c r="M99" s="20">
        <v>0.25</v>
      </c>
      <c r="N99" s="20">
        <v>0</v>
      </c>
      <c r="O99" s="20">
        <v>0</v>
      </c>
      <c r="P99" s="20"/>
      <c r="Q99" s="20">
        <v>105145</v>
      </c>
      <c r="R99" s="20">
        <v>0</v>
      </c>
      <c r="S99" s="20">
        <v>0</v>
      </c>
      <c r="T99" s="9"/>
    </row>
    <row r="100" spans="1:20" ht="15">
      <c r="A100" s="22">
        <f t="shared" si="15"/>
        <v>84</v>
      </c>
      <c r="B100" s="19" t="s">
        <v>99</v>
      </c>
      <c r="C100" s="20">
        <f t="shared" si="11"/>
        <v>1024265.04</v>
      </c>
      <c r="D100" s="20">
        <f t="shared" si="12"/>
        <v>830139.64</v>
      </c>
      <c r="E100" s="20"/>
      <c r="F100" s="20"/>
      <c r="G100" s="20">
        <f t="shared" si="13"/>
        <v>927202</v>
      </c>
      <c r="H100" s="20"/>
      <c r="I100" s="20">
        <f t="shared" si="16"/>
        <v>0</v>
      </c>
      <c r="J100" s="20">
        <f t="shared" si="16"/>
        <v>0</v>
      </c>
      <c r="K100" s="20">
        <f t="shared" si="16"/>
        <v>927202.3400000001</v>
      </c>
      <c r="L100" s="20"/>
      <c r="M100" s="20">
        <v>0</v>
      </c>
      <c r="N100" s="20">
        <v>0</v>
      </c>
      <c r="O100" s="20">
        <v>1024265.04</v>
      </c>
      <c r="P100" s="20"/>
      <c r="Q100" s="20">
        <v>0</v>
      </c>
      <c r="R100" s="20">
        <v>0</v>
      </c>
      <c r="S100" s="20">
        <v>830139.64</v>
      </c>
      <c r="T100" s="9"/>
    </row>
    <row r="101" spans="1:20" ht="15">
      <c r="A101" s="22">
        <f t="shared" si="15"/>
        <v>85</v>
      </c>
      <c r="B101" s="19" t="s">
        <v>100</v>
      </c>
      <c r="C101" s="20">
        <f t="shared" si="11"/>
        <v>-0.97</v>
      </c>
      <c r="D101" s="20">
        <f t="shared" si="12"/>
        <v>-0.97</v>
      </c>
      <c r="E101" s="20"/>
      <c r="F101" s="20"/>
      <c r="G101" s="20">
        <f t="shared" si="13"/>
        <v>-1</v>
      </c>
      <c r="H101" s="20"/>
      <c r="I101" s="20">
        <f t="shared" si="16"/>
        <v>0</v>
      </c>
      <c r="J101" s="20">
        <f t="shared" si="16"/>
        <v>0</v>
      </c>
      <c r="K101" s="20">
        <f t="shared" si="16"/>
        <v>-0.97</v>
      </c>
      <c r="L101" s="20"/>
      <c r="M101" s="20">
        <v>0</v>
      </c>
      <c r="N101" s="20">
        <v>0</v>
      </c>
      <c r="O101" s="20">
        <v>-0.97</v>
      </c>
      <c r="P101" s="20"/>
      <c r="Q101" s="20">
        <v>0</v>
      </c>
      <c r="R101" s="20">
        <v>0</v>
      </c>
      <c r="S101" s="20">
        <v>-0.97</v>
      </c>
      <c r="T101" s="9"/>
    </row>
    <row r="102" spans="1:20" ht="15">
      <c r="A102" s="22">
        <f t="shared" si="15"/>
        <v>86</v>
      </c>
      <c r="B102" s="19" t="s">
        <v>101</v>
      </c>
      <c r="C102" s="20">
        <f t="shared" si="11"/>
        <v>2971020.63</v>
      </c>
      <c r="D102" s="20">
        <f t="shared" si="12"/>
        <v>2258617.34</v>
      </c>
      <c r="E102" s="20"/>
      <c r="F102" s="20"/>
      <c r="G102" s="20">
        <f t="shared" si="13"/>
        <v>2614819</v>
      </c>
      <c r="H102" s="20"/>
      <c r="I102" s="20">
        <f t="shared" si="16"/>
        <v>2614818.985</v>
      </c>
      <c r="J102" s="20">
        <f t="shared" si="16"/>
        <v>0</v>
      </c>
      <c r="K102" s="20">
        <f t="shared" si="16"/>
        <v>0</v>
      </c>
      <c r="L102" s="20"/>
      <c r="M102" s="20">
        <v>2971020.63</v>
      </c>
      <c r="N102" s="20">
        <v>0</v>
      </c>
      <c r="O102" s="20">
        <v>0</v>
      </c>
      <c r="P102" s="20"/>
      <c r="Q102" s="20">
        <v>2258617.34</v>
      </c>
      <c r="R102" s="20">
        <v>0</v>
      </c>
      <c r="S102" s="20">
        <v>0</v>
      </c>
      <c r="T102" s="9"/>
    </row>
    <row r="103" spans="1:20" ht="15">
      <c r="A103" s="22">
        <f t="shared" si="15"/>
        <v>87</v>
      </c>
      <c r="B103" s="19" t="s">
        <v>102</v>
      </c>
      <c r="C103" s="20">
        <f t="shared" si="11"/>
        <v>104742968.05000001</v>
      </c>
      <c r="D103" s="20">
        <f t="shared" si="12"/>
        <v>76201445.6</v>
      </c>
      <c r="E103" s="20"/>
      <c r="F103" s="20"/>
      <c r="G103" s="20">
        <f t="shared" si="13"/>
        <v>90472207</v>
      </c>
      <c r="H103" s="20"/>
      <c r="I103" s="20">
        <f t="shared" si="16"/>
        <v>35130855.9</v>
      </c>
      <c r="J103" s="20">
        <f t="shared" si="16"/>
        <v>6139278.95</v>
      </c>
      <c r="K103" s="20">
        <f t="shared" si="16"/>
        <v>49202071.975</v>
      </c>
      <c r="L103" s="20"/>
      <c r="M103" s="20">
        <v>41391033.25</v>
      </c>
      <c r="N103" s="20">
        <v>7230326.95</v>
      </c>
      <c r="O103" s="20">
        <v>56121607.85</v>
      </c>
      <c r="P103" s="20"/>
      <c r="Q103" s="20">
        <v>28870678.55</v>
      </c>
      <c r="R103" s="20">
        <v>5048230.95</v>
      </c>
      <c r="S103" s="20">
        <v>42282536.1</v>
      </c>
      <c r="T103" s="9"/>
    </row>
    <row r="104" spans="1:20" ht="15">
      <c r="A104" s="22">
        <f t="shared" si="15"/>
        <v>88</v>
      </c>
      <c r="B104" s="19" t="s">
        <v>103</v>
      </c>
      <c r="C104" s="20">
        <f t="shared" si="11"/>
        <v>66717.70000000001</v>
      </c>
      <c r="D104" s="20">
        <f t="shared" si="12"/>
        <v>76486.9</v>
      </c>
      <c r="E104" s="20"/>
      <c r="F104" s="20"/>
      <c r="G104" s="20">
        <f t="shared" si="13"/>
        <v>71602</v>
      </c>
      <c r="H104" s="20"/>
      <c r="I104" s="20">
        <f t="shared" si="16"/>
        <v>116.89999999999999</v>
      </c>
      <c r="J104" s="20">
        <f t="shared" si="16"/>
        <v>0</v>
      </c>
      <c r="K104" s="20">
        <f t="shared" si="16"/>
        <v>71485.4</v>
      </c>
      <c r="L104" s="20"/>
      <c r="M104" s="20">
        <v>-132.65</v>
      </c>
      <c r="N104" s="20">
        <v>0</v>
      </c>
      <c r="O104" s="20">
        <v>66850.35</v>
      </c>
      <c r="P104" s="20"/>
      <c r="Q104" s="20">
        <v>366.45</v>
      </c>
      <c r="R104" s="20">
        <v>0</v>
      </c>
      <c r="S104" s="20">
        <v>76120.45</v>
      </c>
      <c r="T104" s="9"/>
    </row>
    <row r="105" spans="1:20" ht="15">
      <c r="A105" s="22">
        <f t="shared" si="15"/>
        <v>89</v>
      </c>
      <c r="B105" s="19" t="s">
        <v>104</v>
      </c>
      <c r="C105" s="20">
        <f t="shared" si="11"/>
        <v>4616160.890000001</v>
      </c>
      <c r="D105" s="20">
        <f t="shared" si="12"/>
        <v>-8915685.870000001</v>
      </c>
      <c r="E105" s="20"/>
      <c r="F105" s="20"/>
      <c r="G105" s="20">
        <f t="shared" si="13"/>
        <v>-2149762</v>
      </c>
      <c r="H105" s="20"/>
      <c r="I105" s="20">
        <f t="shared" si="16"/>
        <v>-925455.605</v>
      </c>
      <c r="J105" s="20">
        <f t="shared" si="16"/>
        <v>-135202.955</v>
      </c>
      <c r="K105" s="20">
        <f t="shared" si="16"/>
        <v>-1089103.9300000002</v>
      </c>
      <c r="L105" s="20"/>
      <c r="M105" s="20">
        <v>1970006.69</v>
      </c>
      <c r="N105" s="20">
        <v>316204.7</v>
      </c>
      <c r="O105" s="20">
        <v>2329949.5</v>
      </c>
      <c r="P105" s="20"/>
      <c r="Q105" s="20">
        <v>-3820917.9</v>
      </c>
      <c r="R105" s="20">
        <v>-586610.61</v>
      </c>
      <c r="S105" s="20">
        <v>-4508157.36</v>
      </c>
      <c r="T105" s="9"/>
    </row>
    <row r="106" spans="1:20" ht="15">
      <c r="A106" s="22">
        <f t="shared" si="15"/>
        <v>90</v>
      </c>
      <c r="B106" s="19" t="s">
        <v>105</v>
      </c>
      <c r="C106" s="20">
        <f t="shared" si="11"/>
        <v>11547293.06</v>
      </c>
      <c r="D106" s="20">
        <f t="shared" si="12"/>
        <v>16562761.22</v>
      </c>
      <c r="E106" s="20"/>
      <c r="F106" s="20"/>
      <c r="G106" s="20">
        <f t="shared" si="13"/>
        <v>14055027</v>
      </c>
      <c r="H106" s="20"/>
      <c r="I106" s="20">
        <f aca="true" t="shared" si="17" ref="I106:K121">(+M106+Q106)/2</f>
        <v>0</v>
      </c>
      <c r="J106" s="20">
        <f t="shared" si="17"/>
        <v>14055027.14</v>
      </c>
      <c r="K106" s="20">
        <f t="shared" si="17"/>
        <v>0</v>
      </c>
      <c r="L106" s="20"/>
      <c r="M106" s="20">
        <v>0</v>
      </c>
      <c r="N106" s="20">
        <v>11547293.06</v>
      </c>
      <c r="O106" s="20">
        <v>0</v>
      </c>
      <c r="P106" s="20"/>
      <c r="Q106" s="20">
        <v>0</v>
      </c>
      <c r="R106" s="20">
        <v>16562761.22</v>
      </c>
      <c r="S106" s="20">
        <v>0</v>
      </c>
      <c r="T106" s="9"/>
    </row>
    <row r="107" spans="1:20" ht="15">
      <c r="A107" s="22">
        <f t="shared" si="15"/>
        <v>91</v>
      </c>
      <c r="B107" s="19" t="s">
        <v>106</v>
      </c>
      <c r="C107" s="20">
        <f t="shared" si="11"/>
        <v>-4435705.02</v>
      </c>
      <c r="D107" s="20">
        <f t="shared" si="12"/>
        <v>-4435705.02</v>
      </c>
      <c r="E107" s="20"/>
      <c r="F107" s="20"/>
      <c r="G107" s="20">
        <f t="shared" si="13"/>
        <v>-4435705</v>
      </c>
      <c r="H107" s="20"/>
      <c r="I107" s="20">
        <f t="shared" si="17"/>
        <v>-4435705.02</v>
      </c>
      <c r="J107" s="20">
        <f t="shared" si="17"/>
        <v>0</v>
      </c>
      <c r="K107" s="20">
        <f t="shared" si="17"/>
        <v>0</v>
      </c>
      <c r="L107" s="20"/>
      <c r="M107" s="20">
        <v>-4435705.02</v>
      </c>
      <c r="N107" s="20">
        <v>0</v>
      </c>
      <c r="O107" s="20">
        <v>0</v>
      </c>
      <c r="P107" s="20"/>
      <c r="Q107" s="20">
        <v>-4435705.02</v>
      </c>
      <c r="R107" s="20">
        <v>0</v>
      </c>
      <c r="S107" s="20">
        <v>0</v>
      </c>
      <c r="T107" s="9"/>
    </row>
    <row r="108" spans="1:20" ht="15">
      <c r="A108" s="22">
        <f t="shared" si="15"/>
        <v>92</v>
      </c>
      <c r="B108" s="19" t="s">
        <v>107</v>
      </c>
      <c r="C108" s="20">
        <f t="shared" si="11"/>
        <v>1799904.47</v>
      </c>
      <c r="D108" s="20">
        <f t="shared" si="12"/>
        <v>0</v>
      </c>
      <c r="E108" s="20"/>
      <c r="F108" s="20"/>
      <c r="G108" s="20">
        <f t="shared" si="13"/>
        <v>899952</v>
      </c>
      <c r="H108" s="20"/>
      <c r="I108" s="20">
        <f t="shared" si="17"/>
        <v>899952.235</v>
      </c>
      <c r="J108" s="20">
        <f t="shared" si="17"/>
        <v>0</v>
      </c>
      <c r="K108" s="20">
        <f t="shared" si="17"/>
        <v>0</v>
      </c>
      <c r="L108" s="20"/>
      <c r="M108" s="20">
        <v>1799904.47</v>
      </c>
      <c r="N108" s="20">
        <v>0</v>
      </c>
      <c r="O108" s="20">
        <v>0</v>
      </c>
      <c r="P108" s="20"/>
      <c r="Q108" s="20">
        <v>0</v>
      </c>
      <c r="R108" s="20">
        <v>0</v>
      </c>
      <c r="S108" s="20">
        <v>0</v>
      </c>
      <c r="T108" s="9"/>
    </row>
    <row r="109" spans="1:20" ht="15">
      <c r="A109" s="22">
        <f t="shared" si="15"/>
        <v>93</v>
      </c>
      <c r="B109" s="19" t="s">
        <v>108</v>
      </c>
      <c r="C109" s="20">
        <f t="shared" si="11"/>
        <v>10288000.46</v>
      </c>
      <c r="D109" s="20">
        <f t="shared" si="12"/>
        <v>0.34</v>
      </c>
      <c r="E109" s="20"/>
      <c r="F109" s="20"/>
      <c r="G109" s="20">
        <f t="shared" si="13"/>
        <v>5144000</v>
      </c>
      <c r="H109" s="20"/>
      <c r="I109" s="20">
        <f t="shared" si="17"/>
        <v>5144000.4</v>
      </c>
      <c r="J109" s="20">
        <f t="shared" si="17"/>
        <v>0</v>
      </c>
      <c r="K109" s="20">
        <f t="shared" si="17"/>
        <v>0</v>
      </c>
      <c r="L109" s="20"/>
      <c r="M109" s="20">
        <v>10288000.46</v>
      </c>
      <c r="N109" s="20">
        <v>0</v>
      </c>
      <c r="O109" s="20">
        <v>0</v>
      </c>
      <c r="P109" s="20"/>
      <c r="Q109" s="20">
        <v>0.34</v>
      </c>
      <c r="R109" s="20">
        <v>0</v>
      </c>
      <c r="S109" s="20">
        <v>0</v>
      </c>
      <c r="T109" s="9"/>
    </row>
    <row r="110" spans="1:20" ht="15">
      <c r="A110" s="22">
        <f t="shared" si="15"/>
        <v>94</v>
      </c>
      <c r="B110" s="19" t="s">
        <v>109</v>
      </c>
      <c r="C110" s="20">
        <f>SUM(M110:O110)</f>
        <v>274</v>
      </c>
      <c r="D110" s="20">
        <f>SUM(Q110:S110)</f>
        <v>274.15</v>
      </c>
      <c r="E110" s="20"/>
      <c r="F110" s="20"/>
      <c r="G110" s="20">
        <f t="shared" si="13"/>
        <v>274</v>
      </c>
      <c r="H110" s="20"/>
      <c r="I110" s="20">
        <f t="shared" si="17"/>
        <v>274.075</v>
      </c>
      <c r="J110" s="20">
        <f t="shared" si="17"/>
        <v>0</v>
      </c>
      <c r="K110" s="20">
        <f t="shared" si="17"/>
        <v>0</v>
      </c>
      <c r="L110" s="20"/>
      <c r="M110" s="20">
        <v>274</v>
      </c>
      <c r="N110" s="20">
        <v>0</v>
      </c>
      <c r="O110" s="20">
        <v>0</v>
      </c>
      <c r="P110" s="20"/>
      <c r="Q110" s="20">
        <v>274.15</v>
      </c>
      <c r="R110" s="20">
        <v>0</v>
      </c>
      <c r="S110" s="20">
        <v>0</v>
      </c>
      <c r="T110" s="9"/>
    </row>
    <row r="111" spans="1:20" ht="15">
      <c r="A111" s="22">
        <f t="shared" si="15"/>
        <v>95</v>
      </c>
      <c r="B111" s="19" t="s">
        <v>110</v>
      </c>
      <c r="C111" s="20">
        <f aca="true" t="shared" si="18" ref="C111:C124">SUM(M111:O111)</f>
        <v>-1177112.7400000002</v>
      </c>
      <c r="D111" s="20">
        <f aca="true" t="shared" si="19" ref="D111:D124">SUM(Q111:S111)</f>
        <v>-1879165.59</v>
      </c>
      <c r="E111" s="20"/>
      <c r="F111" s="20"/>
      <c r="G111" s="20">
        <f t="shared" si="13"/>
        <v>-1528139</v>
      </c>
      <c r="H111" s="20"/>
      <c r="I111" s="20">
        <f t="shared" si="17"/>
        <v>-3014992.04</v>
      </c>
      <c r="J111" s="20">
        <f t="shared" si="17"/>
        <v>233498.59999999998</v>
      </c>
      <c r="K111" s="20">
        <f t="shared" si="17"/>
        <v>1253354.275</v>
      </c>
      <c r="L111" s="20"/>
      <c r="M111" s="20">
        <v>-2820476.43</v>
      </c>
      <c r="N111" s="20">
        <v>258077.4</v>
      </c>
      <c r="O111" s="20">
        <v>1385286.29</v>
      </c>
      <c r="P111" s="20"/>
      <c r="Q111" s="20">
        <v>-3209507.65</v>
      </c>
      <c r="R111" s="20">
        <v>208919.8</v>
      </c>
      <c r="S111" s="20">
        <v>1121422.26</v>
      </c>
      <c r="T111" s="9"/>
    </row>
    <row r="112" spans="1:20" ht="15">
      <c r="A112" s="22">
        <f t="shared" si="15"/>
        <v>96</v>
      </c>
      <c r="B112" s="19" t="s">
        <v>111</v>
      </c>
      <c r="C112" s="20">
        <f t="shared" si="18"/>
        <v>1047084.5</v>
      </c>
      <c r="D112" s="20">
        <f t="shared" si="19"/>
        <v>1159375.35</v>
      </c>
      <c r="E112" s="20"/>
      <c r="F112" s="20"/>
      <c r="G112" s="20">
        <f t="shared" si="13"/>
        <v>1103230</v>
      </c>
      <c r="H112" s="20"/>
      <c r="I112" s="20">
        <f t="shared" si="17"/>
        <v>1103229.925</v>
      </c>
      <c r="J112" s="20">
        <f t="shared" si="17"/>
        <v>0</v>
      </c>
      <c r="K112" s="20">
        <f t="shared" si="17"/>
        <v>0</v>
      </c>
      <c r="L112" s="20"/>
      <c r="M112" s="20">
        <v>1047084.5</v>
      </c>
      <c r="N112" s="20">
        <v>0</v>
      </c>
      <c r="O112" s="20">
        <v>0</v>
      </c>
      <c r="P112" s="20"/>
      <c r="Q112" s="20">
        <v>1159375.35</v>
      </c>
      <c r="R112" s="20">
        <v>0</v>
      </c>
      <c r="S112" s="20">
        <v>0</v>
      </c>
      <c r="T112" s="9"/>
    </row>
    <row r="113" spans="1:20" ht="15">
      <c r="A113" s="22">
        <f t="shared" si="15"/>
        <v>97</v>
      </c>
      <c r="B113" s="19" t="s">
        <v>112</v>
      </c>
      <c r="C113" s="20">
        <f t="shared" si="18"/>
        <v>0</v>
      </c>
      <c r="D113" s="20">
        <f t="shared" si="19"/>
        <v>0</v>
      </c>
      <c r="E113" s="20"/>
      <c r="F113" s="20"/>
      <c r="G113" s="20">
        <f t="shared" si="13"/>
        <v>0</v>
      </c>
      <c r="H113" s="20"/>
      <c r="I113" s="20">
        <f t="shared" si="17"/>
        <v>0</v>
      </c>
      <c r="J113" s="20">
        <f t="shared" si="17"/>
        <v>0</v>
      </c>
      <c r="K113" s="20">
        <f t="shared" si="17"/>
        <v>0</v>
      </c>
      <c r="L113" s="20"/>
      <c r="M113" s="20">
        <v>0</v>
      </c>
      <c r="N113" s="20">
        <v>0</v>
      </c>
      <c r="O113" s="20">
        <v>0</v>
      </c>
      <c r="P113" s="20"/>
      <c r="Q113" s="20">
        <v>0</v>
      </c>
      <c r="R113" s="20">
        <v>0</v>
      </c>
      <c r="S113" s="20">
        <v>0</v>
      </c>
      <c r="T113" s="9"/>
    </row>
    <row r="114" spans="1:20" ht="15">
      <c r="A114" s="22">
        <f t="shared" si="15"/>
        <v>98</v>
      </c>
      <c r="B114" s="19" t="s">
        <v>113</v>
      </c>
      <c r="C114" s="20">
        <f t="shared" si="18"/>
        <v>450546.63</v>
      </c>
      <c r="D114" s="20">
        <f t="shared" si="19"/>
        <v>450546.63</v>
      </c>
      <c r="E114" s="20"/>
      <c r="F114" s="20"/>
      <c r="G114" s="20">
        <f t="shared" si="13"/>
        <v>450547</v>
      </c>
      <c r="H114" s="20"/>
      <c r="I114" s="20">
        <f t="shared" si="17"/>
        <v>450546.63</v>
      </c>
      <c r="J114" s="20">
        <f t="shared" si="17"/>
        <v>0</v>
      </c>
      <c r="K114" s="20">
        <f t="shared" si="17"/>
        <v>0</v>
      </c>
      <c r="L114" s="20"/>
      <c r="M114" s="20">
        <v>450546.63</v>
      </c>
      <c r="N114" s="20">
        <v>0</v>
      </c>
      <c r="O114" s="20">
        <v>0</v>
      </c>
      <c r="P114" s="20"/>
      <c r="Q114" s="20">
        <v>450546.63</v>
      </c>
      <c r="R114" s="20">
        <v>0</v>
      </c>
      <c r="S114" s="20">
        <v>0</v>
      </c>
      <c r="T114" s="9"/>
    </row>
    <row r="115" spans="1:20" ht="15">
      <c r="A115" s="22">
        <f t="shared" si="15"/>
        <v>99</v>
      </c>
      <c r="B115" s="19" t="s">
        <v>114</v>
      </c>
      <c r="C115" s="20">
        <f t="shared" si="18"/>
        <v>506525.53</v>
      </c>
      <c r="D115" s="20">
        <f t="shared" si="19"/>
        <v>1754331.95</v>
      </c>
      <c r="E115" s="20"/>
      <c r="F115" s="20"/>
      <c r="G115" s="20">
        <f t="shared" si="13"/>
        <v>1130429</v>
      </c>
      <c r="H115" s="20"/>
      <c r="I115" s="20">
        <f t="shared" si="17"/>
        <v>0</v>
      </c>
      <c r="J115" s="20">
        <f t="shared" si="17"/>
        <v>0</v>
      </c>
      <c r="K115" s="20">
        <f t="shared" si="17"/>
        <v>1130428.74</v>
      </c>
      <c r="L115" s="20"/>
      <c r="M115" s="20">
        <v>0</v>
      </c>
      <c r="N115" s="20">
        <v>0</v>
      </c>
      <c r="O115" s="20">
        <v>506525.53</v>
      </c>
      <c r="P115" s="20"/>
      <c r="Q115" s="20">
        <v>0</v>
      </c>
      <c r="R115" s="20">
        <v>0</v>
      </c>
      <c r="S115" s="20">
        <v>1754331.95</v>
      </c>
      <c r="T115" s="9"/>
    </row>
    <row r="116" spans="1:20" ht="15">
      <c r="A116" s="22">
        <f t="shared" si="15"/>
        <v>100</v>
      </c>
      <c r="B116" s="19" t="s">
        <v>115</v>
      </c>
      <c r="C116" s="20">
        <f t="shared" si="18"/>
        <v>-1273760.46</v>
      </c>
      <c r="D116" s="20">
        <f t="shared" si="19"/>
        <v>0</v>
      </c>
      <c r="E116" s="20"/>
      <c r="F116" s="20"/>
      <c r="G116" s="20">
        <f t="shared" si="13"/>
        <v>-636880</v>
      </c>
      <c r="H116" s="20"/>
      <c r="I116" s="20">
        <f t="shared" si="17"/>
        <v>-636880.23</v>
      </c>
      <c r="J116" s="20">
        <f t="shared" si="17"/>
        <v>0</v>
      </c>
      <c r="K116" s="20">
        <f t="shared" si="17"/>
        <v>0</v>
      </c>
      <c r="L116" s="20"/>
      <c r="M116" s="20">
        <v>-1273760.46</v>
      </c>
      <c r="N116" s="20">
        <v>0</v>
      </c>
      <c r="O116" s="20">
        <v>0</v>
      </c>
      <c r="P116" s="20"/>
      <c r="Q116" s="20">
        <v>0</v>
      </c>
      <c r="R116" s="20">
        <v>0</v>
      </c>
      <c r="S116" s="20">
        <v>0</v>
      </c>
      <c r="T116" s="9"/>
    </row>
    <row r="117" spans="1:20" ht="15">
      <c r="A117" s="22">
        <f t="shared" si="15"/>
        <v>101</v>
      </c>
      <c r="B117" s="19" t="s">
        <v>116</v>
      </c>
      <c r="C117" s="20">
        <f t="shared" si="18"/>
        <v>789573.19</v>
      </c>
      <c r="D117" s="20">
        <f t="shared" si="19"/>
        <v>1803252.43</v>
      </c>
      <c r="E117" s="20"/>
      <c r="F117" s="20"/>
      <c r="G117" s="20">
        <f t="shared" si="13"/>
        <v>1296413</v>
      </c>
      <c r="H117" s="20"/>
      <c r="I117" s="20">
        <f t="shared" si="17"/>
        <v>1296412.81</v>
      </c>
      <c r="J117" s="20">
        <f t="shared" si="17"/>
        <v>0</v>
      </c>
      <c r="K117" s="20">
        <f t="shared" si="17"/>
        <v>0</v>
      </c>
      <c r="L117" s="20"/>
      <c r="M117" s="20">
        <v>789573.19</v>
      </c>
      <c r="N117" s="20">
        <v>0</v>
      </c>
      <c r="O117" s="20">
        <v>0</v>
      </c>
      <c r="P117" s="20"/>
      <c r="Q117" s="20">
        <v>1803252.43</v>
      </c>
      <c r="R117" s="20">
        <v>0</v>
      </c>
      <c r="S117" s="20">
        <v>0</v>
      </c>
      <c r="T117" s="9"/>
    </row>
    <row r="118" spans="1:20" ht="15">
      <c r="A118" s="22">
        <f t="shared" si="15"/>
        <v>102</v>
      </c>
      <c r="B118" s="19" t="s">
        <v>117</v>
      </c>
      <c r="C118" s="20">
        <f t="shared" si="18"/>
        <v>1396927.78</v>
      </c>
      <c r="D118" s="20">
        <f t="shared" si="19"/>
        <v>2095769.73</v>
      </c>
      <c r="E118" s="20"/>
      <c r="F118" s="20"/>
      <c r="G118" s="20">
        <f t="shared" si="13"/>
        <v>1746349</v>
      </c>
      <c r="H118" s="20"/>
      <c r="I118" s="20">
        <f t="shared" si="17"/>
        <v>1746348.755</v>
      </c>
      <c r="J118" s="20">
        <f t="shared" si="17"/>
        <v>0</v>
      </c>
      <c r="K118" s="20">
        <f t="shared" si="17"/>
        <v>0</v>
      </c>
      <c r="L118" s="20"/>
      <c r="M118" s="20">
        <v>1396927.78</v>
      </c>
      <c r="N118" s="20">
        <v>0</v>
      </c>
      <c r="O118" s="20">
        <v>0</v>
      </c>
      <c r="P118" s="20"/>
      <c r="Q118" s="20">
        <v>2095769.73</v>
      </c>
      <c r="R118" s="20">
        <v>0</v>
      </c>
      <c r="S118" s="20">
        <v>0</v>
      </c>
      <c r="T118" s="9"/>
    </row>
    <row r="119" spans="1:20" ht="15">
      <c r="A119" s="22">
        <f t="shared" si="15"/>
        <v>103</v>
      </c>
      <c r="B119" s="19" t="s">
        <v>118</v>
      </c>
      <c r="C119" s="20">
        <f t="shared" si="18"/>
        <v>-972316.51</v>
      </c>
      <c r="D119" s="20">
        <f t="shared" si="19"/>
        <v>-1627173.73</v>
      </c>
      <c r="E119" s="20"/>
      <c r="F119" s="20"/>
      <c r="G119" s="20">
        <f t="shared" si="13"/>
        <v>-1299745</v>
      </c>
      <c r="H119" s="20"/>
      <c r="I119" s="20">
        <f t="shared" si="17"/>
        <v>-1299745.12</v>
      </c>
      <c r="J119" s="20">
        <f t="shared" si="17"/>
        <v>0</v>
      </c>
      <c r="K119" s="20">
        <f t="shared" si="17"/>
        <v>0</v>
      </c>
      <c r="L119" s="20"/>
      <c r="M119" s="20">
        <v>-972316.51</v>
      </c>
      <c r="N119" s="20">
        <v>0</v>
      </c>
      <c r="O119" s="20">
        <v>0</v>
      </c>
      <c r="P119" s="20"/>
      <c r="Q119" s="20">
        <v>-1627173.73</v>
      </c>
      <c r="R119" s="20">
        <v>0</v>
      </c>
      <c r="S119" s="20">
        <v>0</v>
      </c>
      <c r="T119" s="9"/>
    </row>
    <row r="120" spans="1:20" ht="15">
      <c r="A120" s="22">
        <f t="shared" si="15"/>
        <v>104</v>
      </c>
      <c r="B120" s="19" t="s">
        <v>119</v>
      </c>
      <c r="C120" s="20">
        <f t="shared" si="18"/>
        <v>2793501.61</v>
      </c>
      <c r="D120" s="20">
        <f t="shared" si="19"/>
        <v>0</v>
      </c>
      <c r="E120" s="20"/>
      <c r="F120" s="20"/>
      <c r="G120" s="20">
        <f t="shared" si="13"/>
        <v>1396751</v>
      </c>
      <c r="H120" s="20"/>
      <c r="I120" s="20">
        <f t="shared" si="17"/>
        <v>1396750.805</v>
      </c>
      <c r="J120" s="20">
        <f t="shared" si="17"/>
        <v>0</v>
      </c>
      <c r="K120" s="20">
        <f t="shared" si="17"/>
        <v>0</v>
      </c>
      <c r="L120" s="20"/>
      <c r="M120" s="20">
        <v>2793501.61</v>
      </c>
      <c r="N120" s="20">
        <v>0</v>
      </c>
      <c r="O120" s="20">
        <v>0</v>
      </c>
      <c r="P120" s="20"/>
      <c r="Q120" s="20">
        <v>0</v>
      </c>
      <c r="R120" s="20">
        <v>0</v>
      </c>
      <c r="S120" s="20">
        <v>0</v>
      </c>
      <c r="T120" s="9"/>
    </row>
    <row r="121" spans="1:20" ht="15">
      <c r="A121" s="22">
        <f t="shared" si="15"/>
        <v>105</v>
      </c>
      <c r="B121" s="19" t="s">
        <v>120</v>
      </c>
      <c r="C121" s="20">
        <f t="shared" si="18"/>
        <v>1545721.59</v>
      </c>
      <c r="D121" s="20">
        <f t="shared" si="19"/>
        <v>0</v>
      </c>
      <c r="E121" s="20"/>
      <c r="F121" s="20"/>
      <c r="G121" s="20">
        <f t="shared" si="13"/>
        <v>772861</v>
      </c>
      <c r="H121" s="20"/>
      <c r="I121" s="20">
        <f t="shared" si="17"/>
        <v>772860.795</v>
      </c>
      <c r="J121" s="20">
        <f t="shared" si="17"/>
        <v>0</v>
      </c>
      <c r="K121" s="20">
        <f t="shared" si="17"/>
        <v>0</v>
      </c>
      <c r="L121" s="20"/>
      <c r="M121" s="20">
        <v>1545721.59</v>
      </c>
      <c r="N121" s="20">
        <v>0</v>
      </c>
      <c r="O121" s="20">
        <v>0</v>
      </c>
      <c r="P121" s="20"/>
      <c r="Q121" s="20">
        <v>0</v>
      </c>
      <c r="R121" s="20">
        <v>0</v>
      </c>
      <c r="S121" s="20">
        <v>0</v>
      </c>
      <c r="T121" s="9"/>
    </row>
    <row r="122" spans="1:20" ht="15">
      <c r="A122" s="22">
        <f t="shared" si="15"/>
        <v>106</v>
      </c>
      <c r="B122" s="19" t="s">
        <v>121</v>
      </c>
      <c r="C122" s="20">
        <f t="shared" si="18"/>
        <v>320394.22</v>
      </c>
      <c r="D122" s="20">
        <f t="shared" si="19"/>
        <v>664564.07</v>
      </c>
      <c r="E122" s="20"/>
      <c r="F122" s="20"/>
      <c r="G122" s="20">
        <f t="shared" si="13"/>
        <v>492479</v>
      </c>
      <c r="H122" s="20"/>
      <c r="I122" s="20">
        <f>(+M122+Q122)/2</f>
        <v>492479.14499999996</v>
      </c>
      <c r="J122" s="20">
        <f>(+N122+R122)/2</f>
        <v>0</v>
      </c>
      <c r="K122" s="20">
        <f>(+O122+S122)/2</f>
        <v>0</v>
      </c>
      <c r="L122" s="20"/>
      <c r="M122" s="20">
        <v>320394.22</v>
      </c>
      <c r="N122" s="20">
        <v>0</v>
      </c>
      <c r="O122" s="20">
        <v>0</v>
      </c>
      <c r="P122" s="20"/>
      <c r="Q122" s="20">
        <v>664564.07</v>
      </c>
      <c r="R122" s="20">
        <v>0</v>
      </c>
      <c r="S122" s="20">
        <v>0</v>
      </c>
      <c r="T122" s="9"/>
    </row>
    <row r="123" spans="1:20" ht="15">
      <c r="A123" s="22">
        <f t="shared" si="15"/>
        <v>107</v>
      </c>
      <c r="B123" s="19" t="s">
        <v>122</v>
      </c>
      <c r="C123" s="20">
        <f t="shared" si="18"/>
        <v>0</v>
      </c>
      <c r="D123" s="20">
        <f t="shared" si="19"/>
        <v>0</v>
      </c>
      <c r="E123" s="20"/>
      <c r="F123" s="20"/>
      <c r="G123" s="20">
        <f t="shared" si="13"/>
        <v>0</v>
      </c>
      <c r="H123" s="20"/>
      <c r="I123" s="20">
        <f>(+M123+Q123)/2</f>
        <v>0</v>
      </c>
      <c r="J123" s="20">
        <f>(+N123+R123)/2</f>
        <v>0</v>
      </c>
      <c r="K123" s="20">
        <f>(+O123+S123)/2</f>
        <v>0</v>
      </c>
      <c r="L123" s="20"/>
      <c r="M123" s="20">
        <v>0</v>
      </c>
      <c r="N123" s="20">
        <v>0</v>
      </c>
      <c r="O123" s="20">
        <v>0</v>
      </c>
      <c r="P123" s="20"/>
      <c r="Q123" s="20">
        <v>0</v>
      </c>
      <c r="R123" s="20">
        <v>0</v>
      </c>
      <c r="S123" s="20">
        <v>0</v>
      </c>
      <c r="T123" s="9"/>
    </row>
    <row r="124" spans="1:20" ht="15">
      <c r="A124" s="22">
        <f t="shared" si="15"/>
        <v>108</v>
      </c>
      <c r="B124" s="19" t="s">
        <v>123</v>
      </c>
      <c r="C124" s="20">
        <f t="shared" si="18"/>
        <v>224464.5</v>
      </c>
      <c r="D124" s="20">
        <f t="shared" si="19"/>
        <v>116721.56999999999</v>
      </c>
      <c r="E124" s="20"/>
      <c r="F124" s="20"/>
      <c r="G124" s="20">
        <f t="shared" si="13"/>
        <v>170593</v>
      </c>
      <c r="H124" s="20"/>
      <c r="I124" s="20">
        <f>(+M124+Q124)/2</f>
        <v>64825.295</v>
      </c>
      <c r="J124" s="20">
        <f>(+N124+R124)/2</f>
        <v>0</v>
      </c>
      <c r="K124" s="20">
        <f>(+O124+S124)/2</f>
        <v>105767.73999999999</v>
      </c>
      <c r="L124" s="20"/>
      <c r="M124" s="20">
        <v>85296.45</v>
      </c>
      <c r="N124" s="20">
        <v>0</v>
      </c>
      <c r="O124" s="20">
        <v>139168.05</v>
      </c>
      <c r="P124" s="20"/>
      <c r="Q124" s="20">
        <v>44354.14</v>
      </c>
      <c r="R124" s="20">
        <v>0</v>
      </c>
      <c r="S124" s="20">
        <v>72367.43</v>
      </c>
      <c r="T124" s="9"/>
    </row>
    <row r="125" spans="1:20" ht="15">
      <c r="A125" s="22">
        <f t="shared" si="15"/>
        <v>109</v>
      </c>
      <c r="B125" s="26" t="s">
        <v>666</v>
      </c>
      <c r="C125" s="20">
        <f>SUM(M125:O125)</f>
        <v>0</v>
      </c>
      <c r="D125" s="20">
        <f>SUM(Q125:S125)</f>
        <v>-378493.01</v>
      </c>
      <c r="E125" s="20"/>
      <c r="F125" s="20"/>
      <c r="G125" s="20">
        <f>ROUND(SUM(C125:F125)/2,0)</f>
        <v>-189247</v>
      </c>
      <c r="H125" s="20"/>
      <c r="I125" s="20">
        <f>(+M125+Q125)/2</f>
        <v>-189246.505</v>
      </c>
      <c r="J125" s="20">
        <f>(+N125+R125)/2</f>
        <v>0</v>
      </c>
      <c r="K125" s="20">
        <f>(+O125+S125)/2</f>
        <v>0</v>
      </c>
      <c r="L125" s="20"/>
      <c r="M125" s="20">
        <v>0</v>
      </c>
      <c r="N125" s="20">
        <v>0</v>
      </c>
      <c r="O125" s="20">
        <v>0</v>
      </c>
      <c r="P125" s="20"/>
      <c r="Q125" s="20">
        <v>-378493.01</v>
      </c>
      <c r="R125" s="20">
        <v>0</v>
      </c>
      <c r="S125" s="20"/>
      <c r="T125" s="9"/>
    </row>
    <row r="126" spans="1:20" ht="15">
      <c r="A126" s="22">
        <f t="shared" si="15"/>
        <v>110</v>
      </c>
      <c r="B126" s="26" t="s">
        <v>667</v>
      </c>
      <c r="C126" s="20">
        <f>SUM(M126:O126)</f>
        <v>0</v>
      </c>
      <c r="D126" s="20">
        <f>SUM(Q126:S126)</f>
        <v>253495.27</v>
      </c>
      <c r="E126" s="20"/>
      <c r="F126" s="20"/>
      <c r="G126" s="20">
        <f>ROUND(SUM(C126:F126)/2,0)</f>
        <v>126748</v>
      </c>
      <c r="H126" s="20"/>
      <c r="I126" s="20">
        <f>(+M126+Q126)/2</f>
        <v>126747.635</v>
      </c>
      <c r="J126" s="20">
        <f>(+N126+R126)/2</f>
        <v>0</v>
      </c>
      <c r="K126" s="20">
        <f>(+O126+S126)/2</f>
        <v>0</v>
      </c>
      <c r="L126" s="20"/>
      <c r="M126" s="20">
        <v>0</v>
      </c>
      <c r="N126" s="20">
        <v>0</v>
      </c>
      <c r="O126" s="20">
        <v>0</v>
      </c>
      <c r="P126" s="20"/>
      <c r="Q126" s="20">
        <v>253495.27</v>
      </c>
      <c r="R126" s="20">
        <v>0</v>
      </c>
      <c r="S126" s="20"/>
      <c r="T126" s="9"/>
    </row>
    <row r="127" spans="1:20" ht="15">
      <c r="A127" s="22">
        <f t="shared" si="15"/>
        <v>111</v>
      </c>
      <c r="B127" s="26" t="s">
        <v>668</v>
      </c>
      <c r="C127" s="20">
        <f>SUM(M127:O127)</f>
        <v>0</v>
      </c>
      <c r="D127" s="20">
        <f>SUM(Q127:S127)</f>
        <v>357710.71</v>
      </c>
      <c r="E127" s="20"/>
      <c r="F127" s="20"/>
      <c r="G127" s="20">
        <f>ROUND(SUM(C127:F127)/2,0)</f>
        <v>178855</v>
      </c>
      <c r="H127" s="20"/>
      <c r="I127" s="20">
        <f>(+M127+Q127)/2</f>
        <v>178855.355</v>
      </c>
      <c r="J127" s="20">
        <f>(+N127+R127)/2</f>
        <v>0</v>
      </c>
      <c r="K127" s="20">
        <f>(+O127+S127)/2</f>
        <v>0</v>
      </c>
      <c r="L127" s="20"/>
      <c r="M127" s="20">
        <v>0</v>
      </c>
      <c r="N127" s="20">
        <v>0</v>
      </c>
      <c r="O127" s="20">
        <v>0</v>
      </c>
      <c r="P127" s="20"/>
      <c r="Q127" s="20">
        <v>357710.71</v>
      </c>
      <c r="R127" s="20">
        <v>0</v>
      </c>
      <c r="S127" s="20"/>
      <c r="T127" s="9"/>
    </row>
    <row r="128" spans="1:20" ht="15">
      <c r="A128" s="22">
        <f t="shared" si="15"/>
        <v>112</v>
      </c>
      <c r="B128" s="19" t="s">
        <v>124</v>
      </c>
      <c r="C128" s="20">
        <f aca="true" t="shared" si="20" ref="C128:C134">SUM(M128:O128)</f>
        <v>4703464.15</v>
      </c>
      <c r="D128" s="20">
        <f aca="true" t="shared" si="21" ref="D128:D134">SUM(Q128:S128)</f>
        <v>4852336.65</v>
      </c>
      <c r="E128" s="20"/>
      <c r="F128" s="20"/>
      <c r="G128" s="20">
        <f t="shared" si="13"/>
        <v>4777900</v>
      </c>
      <c r="H128" s="20"/>
      <c r="I128" s="20">
        <f>(+M128+Q128)/2</f>
        <v>3850257.6</v>
      </c>
      <c r="J128" s="20">
        <f>(+N128+R128)/2</f>
        <v>191213.75</v>
      </c>
      <c r="K128" s="20">
        <f>(+O128+S128)/2</f>
        <v>736429.05</v>
      </c>
      <c r="L128" s="20"/>
      <c r="M128" s="20">
        <v>3942500.45</v>
      </c>
      <c r="N128" s="20">
        <v>122682.35</v>
      </c>
      <c r="O128" s="20">
        <v>638281.35</v>
      </c>
      <c r="P128" s="20"/>
      <c r="Q128" s="20">
        <v>3758014.75</v>
      </c>
      <c r="R128" s="20">
        <v>259745.15</v>
      </c>
      <c r="S128" s="20">
        <v>834576.75</v>
      </c>
      <c r="T128" s="9"/>
    </row>
    <row r="129" spans="1:20" ht="15">
      <c r="A129" s="22">
        <f t="shared" si="15"/>
        <v>113</v>
      </c>
      <c r="B129" s="19" t="s">
        <v>125</v>
      </c>
      <c r="C129" s="20">
        <f t="shared" si="20"/>
        <v>9516929.7</v>
      </c>
      <c r="D129" s="20">
        <f t="shared" si="21"/>
        <v>9593008.5</v>
      </c>
      <c r="E129" s="20"/>
      <c r="F129" s="20"/>
      <c r="G129" s="20">
        <f t="shared" si="13"/>
        <v>9554969</v>
      </c>
      <c r="H129" s="20"/>
      <c r="I129" s="20">
        <f>(+M129+Q129)/2</f>
        <v>3867050.2199999997</v>
      </c>
      <c r="J129" s="20">
        <f>(+N129+R129)/2</f>
        <v>1927541.855</v>
      </c>
      <c r="K129" s="20">
        <f>(+O129+S129)/2</f>
        <v>3760377.025</v>
      </c>
      <c r="L129" s="20"/>
      <c r="M129" s="20">
        <v>4121149.17</v>
      </c>
      <c r="N129" s="20">
        <v>1519046.88</v>
      </c>
      <c r="O129" s="20">
        <v>3876733.65</v>
      </c>
      <c r="P129" s="20"/>
      <c r="Q129" s="20">
        <v>3612951.27</v>
      </c>
      <c r="R129" s="20">
        <v>2336036.83</v>
      </c>
      <c r="S129" s="20">
        <v>3644020.4</v>
      </c>
      <c r="T129" s="9"/>
    </row>
    <row r="130" spans="1:20" ht="15">
      <c r="A130" s="22">
        <f t="shared" si="15"/>
        <v>114</v>
      </c>
      <c r="B130" s="19" t="s">
        <v>126</v>
      </c>
      <c r="C130" s="20">
        <f t="shared" si="20"/>
        <v>4539104.63</v>
      </c>
      <c r="D130" s="20">
        <f t="shared" si="21"/>
        <v>4067537.38</v>
      </c>
      <c r="E130" s="20"/>
      <c r="F130" s="20"/>
      <c r="G130" s="20">
        <f t="shared" si="13"/>
        <v>4303321</v>
      </c>
      <c r="H130" s="20"/>
      <c r="I130" s="20">
        <f>(+M130+Q130)/2</f>
        <v>2283334.855</v>
      </c>
      <c r="J130" s="20">
        <f>(+N130+R130)/2</f>
        <v>685358.1000000001</v>
      </c>
      <c r="K130" s="20">
        <f>(+O130+S130)/2</f>
        <v>1334628.0499999998</v>
      </c>
      <c r="L130" s="20"/>
      <c r="M130" s="20">
        <v>2422116.33</v>
      </c>
      <c r="N130" s="20">
        <v>718519.9</v>
      </c>
      <c r="O130" s="20">
        <v>1398468.4</v>
      </c>
      <c r="P130" s="20"/>
      <c r="Q130" s="20">
        <v>2144553.38</v>
      </c>
      <c r="R130" s="20">
        <v>652196.3</v>
      </c>
      <c r="S130" s="20">
        <v>1270787.7</v>
      </c>
      <c r="T130" s="9"/>
    </row>
    <row r="131" spans="1:20" ht="15">
      <c r="A131" s="22">
        <f t="shared" si="15"/>
        <v>115</v>
      </c>
      <c r="B131" s="19" t="s">
        <v>127</v>
      </c>
      <c r="C131" s="20">
        <f t="shared" si="20"/>
        <v>1320.2</v>
      </c>
      <c r="D131" s="20">
        <f t="shared" si="21"/>
        <v>937641.72</v>
      </c>
      <c r="E131" s="20"/>
      <c r="F131" s="20"/>
      <c r="G131" s="20">
        <f t="shared" si="13"/>
        <v>469481</v>
      </c>
      <c r="H131" s="20"/>
      <c r="I131" s="20">
        <f>(+M131+Q131)/2</f>
        <v>468820.86</v>
      </c>
      <c r="J131" s="20">
        <f>(+N131+R131)/2</f>
        <v>84.875</v>
      </c>
      <c r="K131" s="20">
        <f>(+O131+S131)/2</f>
        <v>575.225</v>
      </c>
      <c r="L131" s="20"/>
      <c r="M131" s="20">
        <v>0</v>
      </c>
      <c r="N131" s="20">
        <v>169.75</v>
      </c>
      <c r="O131" s="20">
        <v>1150.45</v>
      </c>
      <c r="P131" s="20"/>
      <c r="Q131" s="20">
        <v>937641.72</v>
      </c>
      <c r="R131" s="20">
        <v>0</v>
      </c>
      <c r="S131" s="20">
        <v>0</v>
      </c>
      <c r="T131" s="9"/>
    </row>
    <row r="132" spans="1:20" ht="15">
      <c r="A132" s="22">
        <f t="shared" si="15"/>
        <v>116</v>
      </c>
      <c r="B132" s="26" t="s">
        <v>669</v>
      </c>
      <c r="C132" s="20">
        <f>SUM(M132:O132)</f>
        <v>0</v>
      </c>
      <c r="D132" s="20">
        <f>SUM(Q132:S132)</f>
        <v>1329308.51</v>
      </c>
      <c r="E132" s="20"/>
      <c r="F132" s="20"/>
      <c r="G132" s="20">
        <f>ROUND(SUM(C132:F132)/2,0)</f>
        <v>664654</v>
      </c>
      <c r="H132" s="20"/>
      <c r="I132" s="20">
        <f>(+M132+Q132)/2</f>
        <v>0</v>
      </c>
      <c r="J132" s="20">
        <f>(+N132+R132)/2</f>
        <v>73199.485</v>
      </c>
      <c r="K132" s="20">
        <f>(+O132+S132)/2</f>
        <v>591454.77</v>
      </c>
      <c r="L132" s="20"/>
      <c r="M132" s="20">
        <v>0</v>
      </c>
      <c r="N132" s="20">
        <v>0</v>
      </c>
      <c r="O132" s="20">
        <v>0</v>
      </c>
      <c r="P132" s="20"/>
      <c r="Q132" s="20">
        <v>0</v>
      </c>
      <c r="R132" s="20">
        <v>146398.97</v>
      </c>
      <c r="S132" s="20">
        <v>1182909.54</v>
      </c>
      <c r="T132" s="9"/>
    </row>
    <row r="133" spans="1:20" ht="15">
      <c r="A133" s="22">
        <f t="shared" si="15"/>
        <v>117</v>
      </c>
      <c r="B133" s="19" t="s">
        <v>128</v>
      </c>
      <c r="C133" s="20">
        <f t="shared" si="20"/>
        <v>7932178.04</v>
      </c>
      <c r="D133" s="20">
        <f t="shared" si="21"/>
        <v>6920047.140000001</v>
      </c>
      <c r="E133" s="20"/>
      <c r="F133" s="20"/>
      <c r="G133" s="20">
        <f t="shared" si="13"/>
        <v>7426113</v>
      </c>
      <c r="H133" s="20"/>
      <c r="I133" s="20">
        <f>(+M133+Q133)/2</f>
        <v>3385915.715</v>
      </c>
      <c r="J133" s="20">
        <f>(+N133+R133)/2</f>
        <v>810912.51</v>
      </c>
      <c r="K133" s="20">
        <f>(+O133+S133)/2</f>
        <v>3229284.365</v>
      </c>
      <c r="L133" s="20"/>
      <c r="M133" s="20">
        <v>3491372.1</v>
      </c>
      <c r="N133" s="20">
        <v>695032.79</v>
      </c>
      <c r="O133" s="20">
        <v>3745773.15</v>
      </c>
      <c r="P133" s="20"/>
      <c r="Q133" s="20">
        <v>3280459.33</v>
      </c>
      <c r="R133" s="20">
        <v>926792.23</v>
      </c>
      <c r="S133" s="20">
        <v>2712795.58</v>
      </c>
      <c r="T133" s="9"/>
    </row>
    <row r="134" spans="1:20" ht="15">
      <c r="A134" s="22">
        <f t="shared" si="15"/>
        <v>118</v>
      </c>
      <c r="B134" s="19" t="s">
        <v>129</v>
      </c>
      <c r="C134" s="20">
        <f t="shared" si="20"/>
        <v>18112738.7</v>
      </c>
      <c r="D134" s="20">
        <f t="shared" si="21"/>
        <v>1779558.55</v>
      </c>
      <c r="E134" s="20"/>
      <c r="F134" s="20"/>
      <c r="G134" s="20">
        <f t="shared" si="13"/>
        <v>9946149</v>
      </c>
      <c r="H134" s="20"/>
      <c r="I134" s="20">
        <f>(+M134+Q134)/2</f>
        <v>9946148.625</v>
      </c>
      <c r="J134" s="20">
        <f>(+N134+R134)/2</f>
        <v>0</v>
      </c>
      <c r="K134" s="20">
        <f>(+O134+S134)/2</f>
        <v>0</v>
      </c>
      <c r="L134" s="20"/>
      <c r="M134" s="20">
        <f>18112738.7</f>
        <v>18112738.7</v>
      </c>
      <c r="N134" s="20">
        <v>0</v>
      </c>
      <c r="O134" s="20">
        <v>0</v>
      </c>
      <c r="P134" s="20"/>
      <c r="Q134" s="20">
        <v>1779558.55</v>
      </c>
      <c r="R134" s="20">
        <v>0</v>
      </c>
      <c r="S134" s="20">
        <v>0</v>
      </c>
      <c r="T134" s="9"/>
    </row>
    <row r="135" spans="1:20" ht="15">
      <c r="A135" s="22">
        <f t="shared" si="15"/>
        <v>119</v>
      </c>
      <c r="B135" s="10" t="s">
        <v>34</v>
      </c>
      <c r="C135" s="20">
        <f>-3600206.75-198287.45+283288.05</f>
        <v>-3515206.1500000004</v>
      </c>
      <c r="D135" s="20">
        <f>548958.9-3533999+236002.35+65593</f>
        <v>-2683444.75</v>
      </c>
      <c r="E135" s="20">
        <f aca="true" t="shared" si="22" ref="E135:F140">-C135</f>
        <v>3515206.1500000004</v>
      </c>
      <c r="F135" s="20">
        <f t="shared" si="22"/>
        <v>2683444.75</v>
      </c>
      <c r="G135" s="20">
        <f t="shared" si="13"/>
        <v>0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9"/>
    </row>
    <row r="136" spans="1:20" ht="15">
      <c r="A136" s="22">
        <f t="shared" si="15"/>
        <v>120</v>
      </c>
      <c r="B136" s="10" t="s">
        <v>130</v>
      </c>
      <c r="C136" s="20">
        <f>65130391.56+52771240.88+73770926.91</f>
        <v>191672559.35</v>
      </c>
      <c r="D136" s="20">
        <v>190676865.20999998</v>
      </c>
      <c r="E136" s="20">
        <f t="shared" si="22"/>
        <v>-191672559.35</v>
      </c>
      <c r="F136" s="20">
        <f t="shared" si="22"/>
        <v>-190676865.20999998</v>
      </c>
      <c r="G136" s="20">
        <f t="shared" si="13"/>
        <v>0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9"/>
    </row>
    <row r="137" spans="1:20" ht="15">
      <c r="A137" s="22">
        <f t="shared" si="15"/>
        <v>121</v>
      </c>
      <c r="B137" s="10" t="s">
        <v>131</v>
      </c>
      <c r="C137" s="20">
        <v>0</v>
      </c>
      <c r="D137" s="20">
        <v>0</v>
      </c>
      <c r="E137" s="20">
        <f t="shared" si="22"/>
        <v>0</v>
      </c>
      <c r="F137" s="20">
        <f t="shared" si="22"/>
        <v>0</v>
      </c>
      <c r="G137" s="20">
        <f t="shared" si="13"/>
        <v>0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9"/>
    </row>
    <row r="138" spans="1:20" ht="15">
      <c r="A138" s="22">
        <f t="shared" si="15"/>
        <v>122</v>
      </c>
      <c r="B138" s="25" t="s">
        <v>132</v>
      </c>
      <c r="C138" s="20">
        <v>5072332</v>
      </c>
      <c r="D138" s="20">
        <v>4524010.32</v>
      </c>
      <c r="E138" s="20">
        <f>-C138</f>
        <v>-5072332</v>
      </c>
      <c r="F138" s="20">
        <f>-D138</f>
        <v>-4524010.32</v>
      </c>
      <c r="G138" s="20">
        <f>ROUND(SUM(C138:F138)/2,0)</f>
        <v>0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9"/>
    </row>
    <row r="139" spans="1:20" ht="15">
      <c r="A139" s="22">
        <f t="shared" si="15"/>
        <v>123</v>
      </c>
      <c r="B139" s="25" t="s">
        <v>133</v>
      </c>
      <c r="C139" s="20">
        <v>52826</v>
      </c>
      <c r="D139" s="20">
        <v>48538.74</v>
      </c>
      <c r="E139" s="20">
        <f>-C139</f>
        <v>-52826</v>
      </c>
      <c r="F139" s="20">
        <f>-D139</f>
        <v>-48538.74</v>
      </c>
      <c r="G139" s="20">
        <f>ROUND(SUM(C139:F139)/2,0)</f>
        <v>0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9"/>
    </row>
    <row r="140" spans="1:20" ht="15">
      <c r="A140" s="22">
        <f t="shared" si="15"/>
        <v>124</v>
      </c>
      <c r="B140" s="10" t="s">
        <v>134</v>
      </c>
      <c r="C140" s="20">
        <v>110704</v>
      </c>
      <c r="D140" s="20">
        <v>151351.37</v>
      </c>
      <c r="E140" s="20">
        <f t="shared" si="22"/>
        <v>-110704</v>
      </c>
      <c r="F140" s="20">
        <f t="shared" si="22"/>
        <v>-151351.37</v>
      </c>
      <c r="G140" s="20">
        <f>ROUND(SUM(C140:F140)/2,0)</f>
        <v>0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9"/>
    </row>
    <row r="141" spans="1:20" ht="15">
      <c r="A141" s="22">
        <f t="shared" si="15"/>
        <v>125</v>
      </c>
      <c r="B141" s="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9"/>
    </row>
    <row r="142" spans="1:20" ht="15.75" thickBot="1">
      <c r="A142" s="22">
        <f t="shared" si="15"/>
        <v>126</v>
      </c>
      <c r="B142" s="10"/>
      <c r="C142" s="23">
        <f>SUM(C74:C141)</f>
        <v>567224760.6199999</v>
      </c>
      <c r="D142" s="23">
        <f>SUM(D74:D141)</f>
        <v>532387890.0199999</v>
      </c>
      <c r="E142" s="23">
        <f>SUM(E74:E141)</f>
        <v>-193393215.2</v>
      </c>
      <c r="F142" s="23">
        <f>SUM(F74:F141)</f>
        <v>-192717320.89</v>
      </c>
      <c r="G142" s="23">
        <f>SUM(G74:G141)</f>
        <v>356751058</v>
      </c>
      <c r="H142" s="23"/>
      <c r="I142" s="23">
        <f>SUM(I74:I141)</f>
        <v>248058479.75500003</v>
      </c>
      <c r="J142" s="23">
        <f>SUM(J74:J141)</f>
        <v>23162705.425000004</v>
      </c>
      <c r="K142" s="23">
        <f>SUM(K74:K141)</f>
        <v>85529872.09499997</v>
      </c>
      <c r="L142" s="23"/>
      <c r="M142" s="23">
        <f>SUM(M74:M141)</f>
        <v>256694172.40999994</v>
      </c>
      <c r="N142" s="23">
        <f>SUM(N74:N141)</f>
        <v>20917722.419999998</v>
      </c>
      <c r="O142" s="23">
        <f>SUM(O74:O141)</f>
        <v>96219650.59000002</v>
      </c>
      <c r="P142" s="20"/>
      <c r="Q142" s="23">
        <f>SUM(Q74:Q141)</f>
        <v>239422787.10000002</v>
      </c>
      <c r="R142" s="23">
        <f>SUM(R74:R141)</f>
        <v>25407688.43</v>
      </c>
      <c r="S142" s="23">
        <f>SUM(S74:S141)</f>
        <v>74840093.60000001</v>
      </c>
      <c r="T142" s="9"/>
    </row>
    <row r="143" spans="1:20" ht="15.75" thickTop="1">
      <c r="A143" s="22">
        <f t="shared" si="15"/>
        <v>127</v>
      </c>
      <c r="B143" s="9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0"/>
      <c r="Q143" s="24"/>
      <c r="R143" s="24"/>
      <c r="S143" s="24"/>
      <c r="T143" s="9"/>
    </row>
    <row r="144" spans="1:20" ht="15">
      <c r="A144" s="22">
        <f t="shared" si="15"/>
        <v>128</v>
      </c>
      <c r="B144" s="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9"/>
    </row>
    <row r="145" spans="1:20" ht="15">
      <c r="A145" s="22">
        <f t="shared" si="15"/>
        <v>129</v>
      </c>
      <c r="B145" s="19" t="s">
        <v>135</v>
      </c>
      <c r="C145" s="20">
        <f>SUM(M145:O145)</f>
        <v>58020449</v>
      </c>
      <c r="D145" s="20">
        <f>SUM(Q145:S145)</f>
        <v>62389047.489999995</v>
      </c>
      <c r="E145" s="20"/>
      <c r="F145" s="20"/>
      <c r="G145" s="20">
        <f>ROUND(SUM(C145:F145)/2,0)</f>
        <v>60204748</v>
      </c>
      <c r="H145" s="20"/>
      <c r="I145" s="20">
        <f>(+M145+Q145)/2</f>
        <v>38130447</v>
      </c>
      <c r="J145" s="20">
        <f>(+N145+R145)/2</f>
        <v>9327000</v>
      </c>
      <c r="K145" s="20">
        <f>(+O145+S145)/2</f>
        <v>12747301.245</v>
      </c>
      <c r="L145" s="20"/>
      <c r="M145" s="20">
        <f>39625163+22512020-26191035</f>
        <v>35946148</v>
      </c>
      <c r="N145" s="20">
        <f>15136453-5809453</f>
        <v>9327000</v>
      </c>
      <c r="O145" s="20">
        <f>22957176-10209875</f>
        <v>12747301</v>
      </c>
      <c r="P145" s="20"/>
      <c r="Q145" s="20">
        <f>43365102+16151277-29930974-417463+5364862+5781942</f>
        <v>40314746</v>
      </c>
      <c r="R145" s="20">
        <f>17659915-8332915</f>
        <v>9327000</v>
      </c>
      <c r="S145" s="20">
        <f>-12070018+24817319.49</f>
        <v>12747301.489999998</v>
      </c>
      <c r="T145" s="9"/>
    </row>
    <row r="146" spans="1:20" ht="15">
      <c r="A146" s="22">
        <f aca="true" t="shared" si="23" ref="A146:A162">A145+1</f>
        <v>130</v>
      </c>
      <c r="B146" s="10" t="s">
        <v>136</v>
      </c>
      <c r="C146" s="20">
        <f>127071899+41571644+69705815</f>
        <v>238349358</v>
      </c>
      <c r="D146" s="20">
        <f>230835601+29682349</f>
        <v>260517950</v>
      </c>
      <c r="E146" s="20">
        <f>-C146</f>
        <v>-238349358</v>
      </c>
      <c r="F146" s="20">
        <f>-D146</f>
        <v>-260517950</v>
      </c>
      <c r="G146" s="20">
        <f>ROUND(SUM(C146:F146)/2,0)</f>
        <v>0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9"/>
    </row>
    <row r="147" spans="1:20" ht="15">
      <c r="A147" s="22">
        <f t="shared" si="23"/>
        <v>131</v>
      </c>
      <c r="B147" s="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9"/>
    </row>
    <row r="148" spans="1:20" ht="15.75" thickBot="1">
      <c r="A148" s="22">
        <f t="shared" si="23"/>
        <v>132</v>
      </c>
      <c r="B148" s="10" t="s">
        <v>137</v>
      </c>
      <c r="C148" s="23">
        <f>SUM(C142:C147)</f>
        <v>863594567.6199999</v>
      </c>
      <c r="D148" s="23">
        <f>SUM(D142:D147)</f>
        <v>855294887.5099999</v>
      </c>
      <c r="E148" s="23">
        <f>SUM(E142:E147)</f>
        <v>-431742573.2</v>
      </c>
      <c r="F148" s="23">
        <f>SUM(F142:F147)</f>
        <v>-453235270.89</v>
      </c>
      <c r="G148" s="23">
        <f>SUM(G142:G147)</f>
        <v>416955806</v>
      </c>
      <c r="H148" s="23"/>
      <c r="I148" s="23">
        <f>SUM(I142:I147)</f>
        <v>286188926.755</v>
      </c>
      <c r="J148" s="23">
        <f>SUM(J142:J147)</f>
        <v>32489705.425000004</v>
      </c>
      <c r="K148" s="23">
        <f>SUM(K142:K147)</f>
        <v>98277173.33999997</v>
      </c>
      <c r="L148" s="23"/>
      <c r="M148" s="23">
        <f>SUM(M142:M147)</f>
        <v>292640320.40999997</v>
      </c>
      <c r="N148" s="23">
        <f>SUM(N142:N147)</f>
        <v>30244722.419999998</v>
      </c>
      <c r="O148" s="23">
        <f>SUM(O142:O147)</f>
        <v>108966951.59000002</v>
      </c>
      <c r="P148" s="20"/>
      <c r="Q148" s="23">
        <f>SUM(Q142:Q147)</f>
        <v>279737533.1</v>
      </c>
      <c r="R148" s="23">
        <f>SUM(R142:R147)</f>
        <v>34734688.43</v>
      </c>
      <c r="S148" s="23">
        <f>SUM(S142:S147)</f>
        <v>87587395.09</v>
      </c>
      <c r="T148" s="9"/>
    </row>
    <row r="149" spans="1:20" ht="15.75" thickTop="1">
      <c r="A149" s="22">
        <f t="shared" si="23"/>
        <v>133</v>
      </c>
      <c r="B149" s="9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0"/>
      <c r="Q149" s="24"/>
      <c r="R149" s="24"/>
      <c r="S149" s="24"/>
      <c r="T149" s="9"/>
    </row>
    <row r="150" spans="1:20" ht="15">
      <c r="A150" s="22">
        <f t="shared" si="23"/>
        <v>134</v>
      </c>
      <c r="B150" s="9"/>
      <c r="C150" s="25"/>
      <c r="D150" s="2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9"/>
    </row>
    <row r="151" spans="1:20" ht="15">
      <c r="A151" s="22">
        <f t="shared" si="23"/>
        <v>135</v>
      </c>
      <c r="B151" s="10" t="s">
        <v>138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9"/>
    </row>
    <row r="152" spans="1:20" ht="15">
      <c r="A152" s="22">
        <f t="shared" si="23"/>
        <v>136</v>
      </c>
      <c r="B152" s="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9"/>
    </row>
    <row r="153" spans="1:20" ht="15">
      <c r="A153" s="22">
        <f t="shared" si="23"/>
        <v>137</v>
      </c>
      <c r="B153" s="10" t="s">
        <v>139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9"/>
    </row>
    <row r="154" spans="1:20" ht="15">
      <c r="A154" s="22">
        <f t="shared" si="23"/>
        <v>138</v>
      </c>
      <c r="B154" s="9"/>
      <c r="C154" s="20"/>
      <c r="D154" s="27"/>
      <c r="E154" s="27"/>
      <c r="F154" s="27"/>
      <c r="G154" s="27"/>
      <c r="H154" s="27"/>
      <c r="I154" s="27"/>
      <c r="J154" s="27"/>
      <c r="K154" s="27"/>
      <c r="L154" s="27"/>
      <c r="M154" s="20"/>
      <c r="N154" s="20"/>
      <c r="O154" s="20"/>
      <c r="P154" s="20"/>
      <c r="Q154" s="20"/>
      <c r="R154" s="20"/>
      <c r="S154" s="20"/>
      <c r="T154" s="9"/>
    </row>
    <row r="155" spans="1:20" ht="15">
      <c r="A155" s="22">
        <f t="shared" si="23"/>
        <v>139</v>
      </c>
      <c r="B155" s="10" t="s">
        <v>140</v>
      </c>
      <c r="C155" s="20"/>
      <c r="D155" s="27"/>
      <c r="E155" s="27"/>
      <c r="F155" s="27"/>
      <c r="G155" s="27"/>
      <c r="H155" s="27"/>
      <c r="I155" s="27"/>
      <c r="J155" s="27"/>
      <c r="K155" s="27"/>
      <c r="L155" s="27"/>
      <c r="M155" s="20"/>
      <c r="N155" s="20"/>
      <c r="O155" s="20"/>
      <c r="P155" s="20"/>
      <c r="Q155" s="20"/>
      <c r="R155" s="20"/>
      <c r="S155" s="20"/>
      <c r="T155" s="9"/>
    </row>
    <row r="156" spans="1:20" ht="15">
      <c r="A156" s="22">
        <f t="shared" si="23"/>
        <v>140</v>
      </c>
      <c r="B156" s="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9"/>
    </row>
    <row r="157" spans="1:20" ht="15">
      <c r="A157" s="22">
        <f t="shared" si="23"/>
        <v>141</v>
      </c>
      <c r="B157" s="19" t="s">
        <v>141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9"/>
    </row>
    <row r="158" spans="1:20" ht="15">
      <c r="A158" s="22">
        <f t="shared" si="23"/>
        <v>142</v>
      </c>
      <c r="B158" s="19" t="s">
        <v>142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9"/>
    </row>
    <row r="159" spans="1:20" ht="15">
      <c r="A159" s="22">
        <f t="shared" si="23"/>
        <v>143</v>
      </c>
      <c r="B159" s="19" t="s">
        <v>143</v>
      </c>
      <c r="C159" s="20">
        <f>SUM(M159:O159)</f>
        <v>1909408</v>
      </c>
      <c r="D159" s="20">
        <f>SUM(Q159:S159)</f>
        <v>969539</v>
      </c>
      <c r="E159" s="20"/>
      <c r="F159" s="20"/>
      <c r="G159" s="20">
        <f>ROUND(SUM(C159:F159)/2,0)</f>
        <v>1439474</v>
      </c>
      <c r="H159" s="20"/>
      <c r="I159" s="20">
        <f aca="true" t="shared" si="24" ref="I159:K160">(+M159+Q159)/2</f>
        <v>607612.5</v>
      </c>
      <c r="J159" s="20">
        <f t="shared" si="24"/>
        <v>516655</v>
      </c>
      <c r="K159" s="20">
        <f t="shared" si="24"/>
        <v>315206</v>
      </c>
      <c r="L159" s="20"/>
      <c r="M159" s="20">
        <v>823225</v>
      </c>
      <c r="N159" s="20">
        <v>641429</v>
      </c>
      <c r="O159" s="20">
        <v>444754</v>
      </c>
      <c r="P159" s="20"/>
      <c r="Q159" s="20">
        <v>392000</v>
      </c>
      <c r="R159" s="20">
        <v>391881</v>
      </c>
      <c r="S159" s="20">
        <v>185658</v>
      </c>
      <c r="T159" s="9"/>
    </row>
    <row r="160" spans="1:20" ht="15">
      <c r="A160" s="22">
        <f t="shared" si="23"/>
        <v>144</v>
      </c>
      <c r="B160" s="19" t="s">
        <v>144</v>
      </c>
      <c r="C160" s="20">
        <f>SUM(M160:O160)</f>
        <v>913256</v>
      </c>
      <c r="D160" s="20">
        <f>SUM(Q160:S160)</f>
        <v>893166</v>
      </c>
      <c r="E160" s="20"/>
      <c r="F160" s="20"/>
      <c r="G160" s="20">
        <f>ROUND(SUM(C160:F160)/2,0)</f>
        <v>903211</v>
      </c>
      <c r="H160" s="20"/>
      <c r="I160" s="20">
        <f t="shared" si="24"/>
        <v>903211</v>
      </c>
      <c r="J160" s="20">
        <f t="shared" si="24"/>
        <v>0</v>
      </c>
      <c r="K160" s="20">
        <f t="shared" si="24"/>
        <v>0</v>
      </c>
      <c r="L160" s="20"/>
      <c r="M160" s="20">
        <v>913256</v>
      </c>
      <c r="N160" s="20">
        <v>0</v>
      </c>
      <c r="O160" s="20">
        <v>0</v>
      </c>
      <c r="P160" s="20"/>
      <c r="Q160" s="20">
        <v>893166</v>
      </c>
      <c r="R160" s="20">
        <v>0</v>
      </c>
      <c r="S160" s="20">
        <v>0</v>
      </c>
      <c r="T160" s="9"/>
    </row>
    <row r="161" spans="1:20" ht="15">
      <c r="A161" s="22">
        <f t="shared" si="23"/>
        <v>145</v>
      </c>
      <c r="B161" s="1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9"/>
    </row>
    <row r="162" spans="1:20" ht="15.75" thickBot="1">
      <c r="A162" s="22">
        <f t="shared" si="23"/>
        <v>146</v>
      </c>
      <c r="B162" s="19" t="s">
        <v>145</v>
      </c>
      <c r="C162" s="23">
        <f>SUM(C159:C161)</f>
        <v>2822664</v>
      </c>
      <c r="D162" s="23">
        <f>SUM(D159:D161)</f>
        <v>1862705</v>
      </c>
      <c r="E162" s="23">
        <f>SUM(E159:E161)</f>
        <v>0</v>
      </c>
      <c r="F162" s="23">
        <f>SUM(F159:F161)</f>
        <v>0</v>
      </c>
      <c r="G162" s="23">
        <f>SUM(G159:G161)</f>
        <v>2342685</v>
      </c>
      <c r="H162" s="23"/>
      <c r="I162" s="23">
        <f>SUM(I159:I161)</f>
        <v>1510823.5</v>
      </c>
      <c r="J162" s="23">
        <f>SUM(J159:J161)</f>
        <v>516655</v>
      </c>
      <c r="K162" s="23">
        <f>SUM(K159:K161)</f>
        <v>315206</v>
      </c>
      <c r="L162" s="23"/>
      <c r="M162" s="23">
        <f>SUM(M159:M161)</f>
        <v>1736481</v>
      </c>
      <c r="N162" s="23">
        <f>SUM(N159:N161)</f>
        <v>641429</v>
      </c>
      <c r="O162" s="23">
        <f>SUM(O159:O161)</f>
        <v>444754</v>
      </c>
      <c r="P162" s="20"/>
      <c r="Q162" s="23">
        <f>SUM(Q159:Q161)</f>
        <v>1285166</v>
      </c>
      <c r="R162" s="23">
        <f>SUM(R159:R161)</f>
        <v>391881</v>
      </c>
      <c r="S162" s="23">
        <f>SUM(S159:S161)</f>
        <v>185658</v>
      </c>
      <c r="T162" s="9"/>
    </row>
    <row r="163" spans="1:20" ht="15.75" thickTop="1">
      <c r="A163" s="22"/>
      <c r="B163" s="9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0"/>
      <c r="Q163" s="24"/>
      <c r="R163" s="24"/>
      <c r="S163" s="24"/>
      <c r="T163" s="9"/>
    </row>
    <row r="164" spans="1:20" ht="15">
      <c r="A164" s="22"/>
      <c r="B164" s="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9"/>
    </row>
    <row r="165" spans="1:20" ht="15">
      <c r="A165" s="22"/>
      <c r="B165" s="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9"/>
    </row>
    <row r="166" spans="1:20" ht="15">
      <c r="A166" s="22"/>
      <c r="B166" s="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9"/>
    </row>
  </sheetData>
  <sheetProtection/>
  <printOptions/>
  <pageMargins left="0.75" right="0.25" top="0.5" bottom="0.25" header="0.25" footer="0"/>
  <pageSetup horizontalDpi="600" verticalDpi="600" orientation="portrait" scale="70" r:id="rId1"/>
  <headerFooter alignWithMargins="0">
    <oddHeader>&amp;RSTATEMENT AF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02"/>
  <sheetViews>
    <sheetView showOutlineSymbols="0" zoomScale="70" zoomScaleNormal="70" zoomScalePageLayoutView="0" workbookViewId="0" topLeftCell="A1">
      <selection activeCell="A1" sqref="A1:V129"/>
    </sheetView>
  </sheetViews>
  <sheetFormatPr defaultColWidth="12.7109375" defaultRowHeight="15"/>
  <cols>
    <col min="1" max="1" width="5.8515625" style="3" customWidth="1"/>
    <col min="2" max="2" width="55.00390625" style="1" customWidth="1"/>
    <col min="3" max="3" width="14.140625" style="1" customWidth="1"/>
    <col min="4" max="4" width="13.57421875" style="1" customWidth="1"/>
    <col min="5" max="5" width="15.8515625" style="1" hidden="1" customWidth="1"/>
    <col min="6" max="6" width="16.421875" style="1" hidden="1" customWidth="1"/>
    <col min="7" max="7" width="18.421875" style="1" hidden="1" customWidth="1"/>
    <col min="8" max="8" width="3.140625" style="1" hidden="1" customWidth="1"/>
    <col min="9" max="9" width="18.7109375" style="1" hidden="1" customWidth="1"/>
    <col min="10" max="10" width="19.8515625" style="1" hidden="1" customWidth="1"/>
    <col min="11" max="11" width="18.7109375" style="1" hidden="1" customWidth="1"/>
    <col min="12" max="12" width="18.57421875" style="1" hidden="1" customWidth="1"/>
    <col min="13" max="13" width="4.140625" style="1" customWidth="1"/>
    <col min="14" max="14" width="21.421875" style="1" customWidth="1"/>
    <col min="15" max="15" width="22.7109375" style="5" customWidth="1"/>
    <col min="16" max="16" width="19.421875" style="1" customWidth="1"/>
    <col min="17" max="17" width="17.28125" style="1" customWidth="1"/>
    <col min="18" max="18" width="0.9921875" style="1" customWidth="1"/>
    <col min="19" max="19" width="20.00390625" style="1" customWidth="1"/>
    <col min="20" max="20" width="20.8515625" style="1" customWidth="1"/>
    <col min="21" max="21" width="23.57421875" style="1" customWidth="1"/>
    <col min="22" max="22" width="20.00390625" style="1" customWidth="1"/>
    <col min="23" max="23" width="14.57421875" style="1" customWidth="1"/>
    <col min="24" max="16384" width="12.7109375" style="1" customWidth="1"/>
  </cols>
  <sheetData>
    <row r="1" spans="1:28" ht="15">
      <c r="A1" s="28"/>
      <c r="B1" s="8" t="s">
        <v>453</v>
      </c>
      <c r="C1" s="29"/>
      <c r="D1" s="29"/>
      <c r="E1" s="29"/>
      <c r="F1" s="9"/>
      <c r="G1" s="19"/>
      <c r="H1" s="19"/>
      <c r="I1" s="19"/>
      <c r="J1" s="19"/>
      <c r="K1" s="19"/>
      <c r="L1" s="19"/>
      <c r="M1" s="19"/>
      <c r="N1" s="29"/>
      <c r="O1" s="86"/>
      <c r="P1" s="9"/>
      <c r="Q1" s="9"/>
      <c r="R1" s="29"/>
      <c r="S1" s="29"/>
      <c r="T1" s="29"/>
      <c r="U1" s="19"/>
      <c r="V1" s="19"/>
      <c r="W1" s="2"/>
      <c r="X1" s="2"/>
      <c r="Y1" s="2"/>
      <c r="Z1" s="2"/>
      <c r="AA1" s="2"/>
      <c r="AB1" s="2"/>
    </row>
    <row r="2" spans="1:28" ht="15">
      <c r="A2" s="28"/>
      <c r="B2" s="67" t="s">
        <v>146</v>
      </c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29"/>
      <c r="O2" s="87"/>
      <c r="P2" s="29"/>
      <c r="Q2" s="29"/>
      <c r="R2" s="29"/>
      <c r="S2" s="29"/>
      <c r="T2" s="29"/>
      <c r="U2" s="30"/>
      <c r="V2" s="30"/>
      <c r="W2" s="2"/>
      <c r="X2" s="2"/>
      <c r="Y2" s="2"/>
      <c r="Z2" s="2"/>
      <c r="AA2" s="2"/>
      <c r="AB2" s="2"/>
    </row>
    <row r="3" spans="1:28" ht="15">
      <c r="A3" s="28"/>
      <c r="B3" s="67" t="s">
        <v>716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87"/>
      <c r="P3" s="29"/>
      <c r="Q3" s="29"/>
      <c r="R3" s="29"/>
      <c r="S3" s="29"/>
      <c r="T3" s="29"/>
      <c r="U3" s="29"/>
      <c r="V3" s="29"/>
      <c r="W3" s="2"/>
      <c r="X3" s="2"/>
      <c r="Y3" s="2"/>
      <c r="Z3" s="2"/>
      <c r="AA3" s="2"/>
      <c r="AB3" s="2"/>
    </row>
    <row r="4" spans="1:28" ht="15">
      <c r="A4" s="28"/>
      <c r="B4" s="8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87"/>
      <c r="P4" s="29"/>
      <c r="Q4" s="29"/>
      <c r="R4" s="29"/>
      <c r="S4" s="29"/>
      <c r="T4" s="29"/>
      <c r="U4" s="29"/>
      <c r="V4" s="29"/>
      <c r="W4" s="2"/>
      <c r="X4" s="2"/>
      <c r="Y4" s="2"/>
      <c r="Z4" s="2"/>
      <c r="AA4" s="2"/>
      <c r="AB4" s="2"/>
    </row>
    <row r="5" spans="1:28" ht="15">
      <c r="A5" s="28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7"/>
      <c r="P5" s="29"/>
      <c r="Q5" s="29"/>
      <c r="R5" s="29"/>
      <c r="S5" s="29"/>
      <c r="T5" s="29"/>
      <c r="U5" s="29"/>
      <c r="V5" s="29"/>
      <c r="W5" s="2"/>
      <c r="X5" s="2"/>
      <c r="Y5" s="2"/>
      <c r="Z5" s="2"/>
      <c r="AA5" s="2"/>
      <c r="AB5" s="2"/>
    </row>
    <row r="6" spans="1:28" ht="15">
      <c r="A6" s="28"/>
      <c r="B6" s="29"/>
      <c r="C6" s="29"/>
      <c r="D6" s="29"/>
      <c r="E6" s="29"/>
      <c r="F6" s="29"/>
      <c r="G6" s="31" t="s">
        <v>147</v>
      </c>
      <c r="H6" s="31"/>
      <c r="I6" s="31"/>
      <c r="J6" s="31"/>
      <c r="K6" s="31"/>
      <c r="L6" s="31"/>
      <c r="M6" s="31"/>
      <c r="N6" s="29"/>
      <c r="O6" s="87"/>
      <c r="P6" s="29"/>
      <c r="Q6" s="29"/>
      <c r="R6" s="29"/>
      <c r="S6" s="29"/>
      <c r="T6" s="29"/>
      <c r="U6" s="29"/>
      <c r="V6" s="29"/>
      <c r="W6" s="2"/>
      <c r="X6" s="2"/>
      <c r="Y6" s="2"/>
      <c r="Z6" s="2"/>
      <c r="AA6" s="2"/>
      <c r="AB6" s="2"/>
    </row>
    <row r="7" spans="1:28" ht="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87"/>
      <c r="P7" s="29"/>
      <c r="Q7" s="29"/>
      <c r="R7" s="29"/>
      <c r="S7" s="29"/>
      <c r="T7" s="29"/>
      <c r="U7" s="29"/>
      <c r="V7" s="29"/>
      <c r="W7" s="2"/>
      <c r="X7" s="2"/>
      <c r="Y7" s="2"/>
      <c r="Z7" s="2"/>
      <c r="AA7" s="2"/>
      <c r="AB7" s="2"/>
    </row>
    <row r="8" spans="1:28" ht="15">
      <c r="A8" s="28"/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  <c r="J8" s="32" t="s">
        <v>10</v>
      </c>
      <c r="K8" s="32" t="s">
        <v>11</v>
      </c>
      <c r="L8" s="32" t="s">
        <v>12</v>
      </c>
      <c r="M8" s="32"/>
      <c r="N8" s="32" t="s">
        <v>13</v>
      </c>
      <c r="O8" s="89" t="s">
        <v>14</v>
      </c>
      <c r="P8" s="32" t="s">
        <v>15</v>
      </c>
      <c r="Q8" s="32" t="s">
        <v>16</v>
      </c>
      <c r="R8" s="29"/>
      <c r="S8" s="32" t="s">
        <v>17</v>
      </c>
      <c r="T8" s="32" t="s">
        <v>230</v>
      </c>
      <c r="U8" s="32" t="s">
        <v>231</v>
      </c>
      <c r="V8" s="32" t="s">
        <v>232</v>
      </c>
      <c r="W8" s="2"/>
      <c r="X8" s="2"/>
      <c r="Y8" s="2"/>
      <c r="Z8" s="2"/>
      <c r="AA8" s="2"/>
      <c r="AB8" s="2"/>
    </row>
    <row r="9" spans="1:28" ht="1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87"/>
      <c r="P9" s="29"/>
      <c r="Q9" s="29"/>
      <c r="R9" s="29"/>
      <c r="S9" s="29"/>
      <c r="T9" s="29"/>
      <c r="U9" s="29"/>
      <c r="V9" s="29"/>
      <c r="W9" s="2"/>
      <c r="X9" s="2"/>
      <c r="Y9" s="2"/>
      <c r="Z9" s="2"/>
      <c r="AA9" s="2"/>
      <c r="AB9" s="2"/>
    </row>
    <row r="10" spans="1:28" ht="15">
      <c r="A10" s="28"/>
      <c r="B10" s="29"/>
      <c r="C10" s="33" t="s">
        <v>18</v>
      </c>
      <c r="D10" s="33"/>
      <c r="E10" s="34" t="s">
        <v>19</v>
      </c>
      <c r="F10" s="33"/>
      <c r="G10" s="35" t="s">
        <v>20</v>
      </c>
      <c r="H10" s="35"/>
      <c r="I10" s="36" t="s">
        <v>21</v>
      </c>
      <c r="J10" s="33"/>
      <c r="K10" s="33"/>
      <c r="L10" s="33"/>
      <c r="M10" s="35"/>
      <c r="N10" s="36" t="s">
        <v>22</v>
      </c>
      <c r="O10" s="90"/>
      <c r="P10" s="33"/>
      <c r="Q10" s="33"/>
      <c r="R10" s="29"/>
      <c r="S10" s="36" t="s">
        <v>659</v>
      </c>
      <c r="T10" s="33"/>
      <c r="U10" s="33"/>
      <c r="V10" s="33"/>
      <c r="W10" s="2"/>
      <c r="X10" s="2"/>
      <c r="Y10" s="2"/>
      <c r="Z10" s="2"/>
      <c r="AA10" s="2"/>
      <c r="AB10" s="2"/>
    </row>
    <row r="11" spans="1:28" ht="15">
      <c r="A11" s="28"/>
      <c r="B11" s="29"/>
      <c r="C11" s="38"/>
      <c r="D11" s="38"/>
      <c r="E11" s="29"/>
      <c r="F11" s="29"/>
      <c r="G11" s="35" t="s">
        <v>23</v>
      </c>
      <c r="H11" s="35"/>
      <c r="I11" s="38"/>
      <c r="J11" s="38"/>
      <c r="K11" s="38"/>
      <c r="L11" s="38"/>
      <c r="M11" s="35"/>
      <c r="N11" s="38"/>
      <c r="O11" s="91"/>
      <c r="P11" s="38"/>
      <c r="Q11" s="38"/>
      <c r="R11" s="29"/>
      <c r="S11" s="38"/>
      <c r="T11" s="38"/>
      <c r="U11" s="38"/>
      <c r="V11" s="38"/>
      <c r="W11" s="2"/>
      <c r="X11" s="2"/>
      <c r="Y11" s="2"/>
      <c r="Z11" s="2"/>
      <c r="AA11" s="2"/>
      <c r="AB11" s="2"/>
    </row>
    <row r="12" spans="1:28" ht="15">
      <c r="A12" s="28"/>
      <c r="B12" s="29"/>
      <c r="C12" s="35" t="s">
        <v>24</v>
      </c>
      <c r="D12" s="35" t="s">
        <v>24</v>
      </c>
      <c r="E12" s="35" t="s">
        <v>24</v>
      </c>
      <c r="F12" s="35" t="s">
        <v>24</v>
      </c>
      <c r="G12" s="35" t="s">
        <v>25</v>
      </c>
      <c r="H12" s="35"/>
      <c r="I12" s="29"/>
      <c r="J12" s="29"/>
      <c r="K12" s="29"/>
      <c r="L12" s="29"/>
      <c r="M12" s="35"/>
      <c r="N12" s="29"/>
      <c r="O12" s="87"/>
      <c r="P12" s="29"/>
      <c r="Q12" s="29"/>
      <c r="R12" s="29"/>
      <c r="S12" s="29"/>
      <c r="T12" s="29"/>
      <c r="U12" s="29"/>
      <c r="V12" s="29"/>
      <c r="W12" s="2"/>
      <c r="X12" s="2"/>
      <c r="Y12" s="2"/>
      <c r="Z12" s="2"/>
      <c r="AA12" s="2"/>
      <c r="AB12" s="2"/>
    </row>
    <row r="13" spans="1:28" ht="15">
      <c r="A13" s="28"/>
      <c r="B13" s="32" t="s">
        <v>26</v>
      </c>
      <c r="C13" s="32" t="s">
        <v>27</v>
      </c>
      <c r="D13" s="32" t="s">
        <v>660</v>
      </c>
      <c r="E13" s="32" t="str">
        <f>+C13</f>
        <v>OF 12-31-12</v>
      </c>
      <c r="F13" s="32" t="str">
        <f>+D13</f>
        <v>OF 12-31-13</v>
      </c>
      <c r="G13" s="32" t="s">
        <v>28</v>
      </c>
      <c r="H13" s="32"/>
      <c r="I13" s="32" t="s">
        <v>29</v>
      </c>
      <c r="J13" s="32" t="s">
        <v>30</v>
      </c>
      <c r="K13" s="32" t="s">
        <v>31</v>
      </c>
      <c r="L13" s="32" t="s">
        <v>456</v>
      </c>
      <c r="M13" s="32"/>
      <c r="N13" s="32" t="s">
        <v>29</v>
      </c>
      <c r="O13" s="89" t="s">
        <v>30</v>
      </c>
      <c r="P13" s="32" t="s">
        <v>31</v>
      </c>
      <c r="Q13" s="32" t="s">
        <v>456</v>
      </c>
      <c r="R13" s="29"/>
      <c r="S13" s="32" t="s">
        <v>29</v>
      </c>
      <c r="T13" s="32" t="s">
        <v>30</v>
      </c>
      <c r="U13" s="32" t="s">
        <v>31</v>
      </c>
      <c r="V13" s="32" t="s">
        <v>456</v>
      </c>
      <c r="W13" s="2"/>
      <c r="X13" s="2"/>
      <c r="Y13" s="2"/>
      <c r="Z13" s="2"/>
      <c r="AA13" s="2"/>
      <c r="AB13" s="2"/>
    </row>
    <row r="14" spans="1:28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6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</row>
    <row r="15" spans="1:28" ht="15">
      <c r="A15" s="39"/>
      <c r="B15" s="25" t="s">
        <v>148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86"/>
      <c r="P15" s="20"/>
      <c r="Q15" s="20"/>
      <c r="R15" s="20"/>
      <c r="S15" s="20"/>
      <c r="T15" s="20"/>
      <c r="U15" s="20"/>
      <c r="V15" s="20"/>
      <c r="W15" s="2"/>
      <c r="X15" s="2"/>
      <c r="Y15" s="2"/>
      <c r="Z15" s="2"/>
      <c r="AA15" s="2"/>
      <c r="AB15" s="2"/>
    </row>
    <row r="16" spans="1:28" ht="15">
      <c r="A16" s="3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86"/>
      <c r="P16" s="20"/>
      <c r="Q16" s="20"/>
      <c r="R16" s="20"/>
      <c r="S16" s="20"/>
      <c r="T16" s="20"/>
      <c r="U16" s="20"/>
      <c r="V16" s="20"/>
      <c r="W16" s="2"/>
      <c r="X16" s="2"/>
      <c r="Y16" s="2"/>
      <c r="Z16" s="2"/>
      <c r="AA16" s="2"/>
      <c r="AB16" s="2"/>
    </row>
    <row r="17" spans="1:28" ht="15">
      <c r="A17" s="40">
        <v>1</v>
      </c>
      <c r="B17" s="25" t="s">
        <v>330</v>
      </c>
      <c r="C17" s="20">
        <f>SUM(N17:Q17)</f>
        <v>19250299.360000003</v>
      </c>
      <c r="D17" s="20">
        <f aca="true" t="shared" si="0" ref="D17:D80">SUM(S17:V17)</f>
        <v>17777930</v>
      </c>
      <c r="E17" s="20"/>
      <c r="F17" s="20"/>
      <c r="G17" s="20">
        <f>ROUND(SUM(C17:F17)/2,0)</f>
        <v>18514115</v>
      </c>
      <c r="H17" s="20"/>
      <c r="I17" s="20">
        <f aca="true" t="shared" si="1" ref="I17:L51">(+N17+S17)/2</f>
        <v>8817031.765</v>
      </c>
      <c r="J17" s="20">
        <f t="shared" si="1"/>
        <v>425376.635</v>
      </c>
      <c r="K17" s="20">
        <f t="shared" si="1"/>
        <v>9268318.63</v>
      </c>
      <c r="L17" s="20">
        <f t="shared" si="1"/>
        <v>3387.65</v>
      </c>
      <c r="M17" s="20"/>
      <c r="N17" s="20">
        <v>17634063.53</v>
      </c>
      <c r="O17" s="86">
        <v>506363.27</v>
      </c>
      <c r="P17" s="20">
        <v>1103097.26</v>
      </c>
      <c r="Q17" s="20">
        <v>6775.3</v>
      </c>
      <c r="R17" s="20"/>
      <c r="S17" s="20">
        <v>0</v>
      </c>
      <c r="T17" s="20">
        <v>344390</v>
      </c>
      <c r="U17" s="20">
        <f>589925+16843615</f>
        <v>17433540</v>
      </c>
      <c r="V17" s="20">
        <v>0</v>
      </c>
      <c r="W17" s="2"/>
      <c r="X17" s="2"/>
      <c r="Y17" s="2"/>
      <c r="Z17" s="2"/>
      <c r="AA17" s="2"/>
      <c r="AB17" s="2"/>
    </row>
    <row r="18" spans="1:28" ht="15">
      <c r="A18" s="40">
        <f aca="true" t="shared" si="2" ref="A18:A81">+A17+1</f>
        <v>2</v>
      </c>
      <c r="B18" s="25" t="s">
        <v>581</v>
      </c>
      <c r="C18" s="20">
        <f aca="true" t="shared" si="3" ref="C18:C81">SUM(N18:Q18)</f>
        <v>3814413.05</v>
      </c>
      <c r="D18" s="20">
        <f t="shared" si="0"/>
        <v>0</v>
      </c>
      <c r="E18" s="20"/>
      <c r="F18" s="20"/>
      <c r="G18" s="20">
        <f>ROUND(SUM(C18:F18)/2,0)</f>
        <v>1907207</v>
      </c>
      <c r="H18" s="20"/>
      <c r="I18" s="20">
        <f t="shared" si="1"/>
        <v>1907206.525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/>
      <c r="N18" s="20">
        <v>3814413.05</v>
      </c>
      <c r="O18" s="86">
        <v>0</v>
      </c>
      <c r="P18" s="20">
        <v>0</v>
      </c>
      <c r="Q18" s="20">
        <v>0</v>
      </c>
      <c r="R18" s="20"/>
      <c r="S18" s="20">
        <v>0</v>
      </c>
      <c r="T18" s="20">
        <v>0</v>
      </c>
      <c r="U18" s="20">
        <v>0</v>
      </c>
      <c r="V18" s="20">
        <v>0</v>
      </c>
      <c r="W18" s="2"/>
      <c r="X18" s="2"/>
      <c r="Y18" s="2"/>
      <c r="Z18" s="2"/>
      <c r="AA18" s="2"/>
      <c r="AB18" s="2"/>
    </row>
    <row r="19" spans="1:28" ht="15">
      <c r="A19" s="40">
        <f t="shared" si="2"/>
        <v>3</v>
      </c>
      <c r="B19" s="25" t="s">
        <v>582</v>
      </c>
      <c r="C19" s="20">
        <f t="shared" si="3"/>
        <v>15958931.88</v>
      </c>
      <c r="D19" s="20">
        <f t="shared" si="0"/>
        <v>0</v>
      </c>
      <c r="E19" s="20"/>
      <c r="F19" s="20"/>
      <c r="G19" s="20">
        <f aca="true" t="shared" si="4" ref="G19:G71">ROUND(SUM(C19:F19)/2,0)</f>
        <v>7979466</v>
      </c>
      <c r="H19" s="20"/>
      <c r="I19" s="20">
        <f t="shared" si="1"/>
        <v>7979465.94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/>
      <c r="N19" s="20">
        <v>15958931.88</v>
      </c>
      <c r="O19" s="86">
        <v>0</v>
      </c>
      <c r="P19" s="20">
        <v>0</v>
      </c>
      <c r="Q19" s="20">
        <v>0</v>
      </c>
      <c r="R19" s="20"/>
      <c r="S19" s="20">
        <v>0</v>
      </c>
      <c r="T19" s="20">
        <v>0</v>
      </c>
      <c r="U19" s="20">
        <v>0</v>
      </c>
      <c r="V19" s="20">
        <v>0</v>
      </c>
      <c r="W19" s="2"/>
      <c r="X19" s="2"/>
      <c r="Y19" s="2"/>
      <c r="Z19" s="2"/>
      <c r="AA19" s="2"/>
      <c r="AB19" s="2"/>
    </row>
    <row r="20" spans="1:28" ht="15">
      <c r="A20" s="40">
        <f>+A19+1</f>
        <v>4</v>
      </c>
      <c r="B20" s="20" t="s">
        <v>150</v>
      </c>
      <c r="C20" s="20">
        <f t="shared" si="3"/>
        <v>91066680.49000001</v>
      </c>
      <c r="D20" s="20">
        <f t="shared" si="0"/>
        <v>19880131.299999997</v>
      </c>
      <c r="E20" s="20"/>
      <c r="F20" s="20"/>
      <c r="G20" s="20">
        <f t="shared" si="4"/>
        <v>55473406</v>
      </c>
      <c r="H20" s="20"/>
      <c r="I20" s="20">
        <f t="shared" si="1"/>
        <v>36089404.555</v>
      </c>
      <c r="J20" s="20">
        <f t="shared" si="1"/>
        <v>9452853.93</v>
      </c>
      <c r="K20" s="20">
        <f t="shared" si="1"/>
        <v>9931147.41</v>
      </c>
      <c r="L20" s="20">
        <f t="shared" si="1"/>
        <v>0</v>
      </c>
      <c r="M20" s="20"/>
      <c r="N20" s="20">
        <v>72178809.11</v>
      </c>
      <c r="O20" s="86">
        <f>12641565.09-3665435</f>
        <v>8976130.09</v>
      </c>
      <c r="P20" s="20">
        <f>15395859.29-5484118</f>
        <v>9911741.29</v>
      </c>
      <c r="Q20" s="20">
        <v>0</v>
      </c>
      <c r="R20" s="20"/>
      <c r="S20" s="20">
        <v>0</v>
      </c>
      <c r="T20" s="20">
        <f>14039120.77-4109543</f>
        <v>9929577.77</v>
      </c>
      <c r="U20" s="20">
        <f>15955953.53-6005400</f>
        <v>9950553.53</v>
      </c>
      <c r="V20" s="20">
        <v>0</v>
      </c>
      <c r="W20" s="2"/>
      <c r="X20" s="2"/>
      <c r="Y20" s="2"/>
      <c r="Z20" s="2"/>
      <c r="AA20" s="2"/>
      <c r="AB20" s="2"/>
    </row>
    <row r="21" spans="1:28" ht="15">
      <c r="A21" s="40">
        <f t="shared" si="2"/>
        <v>5</v>
      </c>
      <c r="B21" s="20" t="s">
        <v>583</v>
      </c>
      <c r="C21" s="20">
        <f t="shared" si="3"/>
        <v>25097782.970000003</v>
      </c>
      <c r="D21" s="20">
        <f t="shared" si="0"/>
        <v>21444409.65</v>
      </c>
      <c r="E21" s="20"/>
      <c r="F21" s="20"/>
      <c r="G21" s="20">
        <f t="shared" si="4"/>
        <v>23271096</v>
      </c>
      <c r="H21" s="20"/>
      <c r="I21" s="20">
        <f t="shared" si="1"/>
        <v>0</v>
      </c>
      <c r="J21" s="20">
        <f t="shared" si="1"/>
        <v>3519273.77</v>
      </c>
      <c r="K21" s="20">
        <f t="shared" si="1"/>
        <v>19751822.54</v>
      </c>
      <c r="L21" s="20">
        <f t="shared" si="1"/>
        <v>0</v>
      </c>
      <c r="M21" s="20"/>
      <c r="N21" s="20">
        <v>0</v>
      </c>
      <c r="O21" s="86">
        <v>3613439.87</v>
      </c>
      <c r="P21" s="20">
        <v>21484343.1</v>
      </c>
      <c r="Q21" s="20">
        <v>0</v>
      </c>
      <c r="R21" s="20"/>
      <c r="S21" s="20">
        <v>0</v>
      </c>
      <c r="T21" s="20">
        <v>3425107.67</v>
      </c>
      <c r="U21" s="20">
        <v>18019301.98</v>
      </c>
      <c r="V21" s="20">
        <v>0</v>
      </c>
      <c r="W21" s="2"/>
      <c r="X21" s="2"/>
      <c r="Y21" s="2"/>
      <c r="Z21" s="2"/>
      <c r="AA21" s="2"/>
      <c r="AB21" s="2"/>
    </row>
    <row r="22" spans="1:28" ht="15">
      <c r="A22" s="40">
        <f t="shared" si="2"/>
        <v>6</v>
      </c>
      <c r="B22" s="20" t="s">
        <v>335</v>
      </c>
      <c r="C22" s="20">
        <f t="shared" si="3"/>
        <v>5542883.96</v>
      </c>
      <c r="D22" s="20">
        <f t="shared" si="0"/>
        <v>4956446.24</v>
      </c>
      <c r="E22" s="20"/>
      <c r="F22" s="20"/>
      <c r="G22" s="20">
        <f t="shared" si="4"/>
        <v>5249665</v>
      </c>
      <c r="H22" s="20"/>
      <c r="I22" s="20">
        <f t="shared" si="1"/>
        <v>0</v>
      </c>
      <c r="J22" s="20">
        <f t="shared" si="1"/>
        <v>0</v>
      </c>
      <c r="K22" s="20">
        <f t="shared" si="1"/>
        <v>5249665.1</v>
      </c>
      <c r="L22" s="20">
        <f t="shared" si="1"/>
        <v>0</v>
      </c>
      <c r="M22" s="20"/>
      <c r="N22" s="20">
        <v>0</v>
      </c>
      <c r="O22" s="86">
        <v>0</v>
      </c>
      <c r="P22" s="20">
        <v>5542883.96</v>
      </c>
      <c r="Q22" s="20">
        <v>0</v>
      </c>
      <c r="R22" s="20"/>
      <c r="S22" s="20">
        <v>0</v>
      </c>
      <c r="T22" s="20">
        <v>0</v>
      </c>
      <c r="U22" s="20">
        <v>4956446.24</v>
      </c>
      <c r="V22" s="20">
        <v>0</v>
      </c>
      <c r="W22" s="2"/>
      <c r="X22" s="2"/>
      <c r="Y22" s="2"/>
      <c r="Z22" s="2"/>
      <c r="AA22" s="2"/>
      <c r="AB22" s="2"/>
    </row>
    <row r="23" spans="1:28" ht="15">
      <c r="A23" s="40">
        <f t="shared" si="2"/>
        <v>7</v>
      </c>
      <c r="B23" s="20" t="s">
        <v>584</v>
      </c>
      <c r="C23" s="20">
        <f t="shared" si="3"/>
        <v>0</v>
      </c>
      <c r="D23" s="20">
        <f t="shared" si="0"/>
        <v>0</v>
      </c>
      <c r="E23" s="20"/>
      <c r="F23" s="20"/>
      <c r="G23" s="20">
        <f>ROUND(SUM(C23:F23)/2,0)</f>
        <v>0</v>
      </c>
      <c r="H23" s="20"/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/>
      <c r="N23" s="20">
        <v>0</v>
      </c>
      <c r="O23" s="86">
        <v>0</v>
      </c>
      <c r="P23" s="20">
        <v>0</v>
      </c>
      <c r="Q23" s="20">
        <v>0</v>
      </c>
      <c r="R23" s="20"/>
      <c r="S23" s="20">
        <v>0</v>
      </c>
      <c r="T23" s="20">
        <v>0</v>
      </c>
      <c r="U23" s="20">
        <v>0</v>
      </c>
      <c r="V23" s="20">
        <v>0</v>
      </c>
      <c r="W23" s="2"/>
      <c r="X23" s="2"/>
      <c r="Y23" s="2"/>
      <c r="Z23" s="2"/>
      <c r="AA23" s="2"/>
      <c r="AB23" s="2"/>
    </row>
    <row r="24" spans="1:28" ht="15">
      <c r="A24" s="40">
        <f t="shared" si="2"/>
        <v>8</v>
      </c>
      <c r="B24" s="25" t="s">
        <v>158</v>
      </c>
      <c r="C24" s="20">
        <f t="shared" si="3"/>
        <v>12060861.95</v>
      </c>
      <c r="D24" s="20">
        <f t="shared" si="0"/>
        <v>2548743.01</v>
      </c>
      <c r="E24" s="20"/>
      <c r="F24" s="20"/>
      <c r="G24" s="20">
        <f t="shared" si="4"/>
        <v>7304802</v>
      </c>
      <c r="H24" s="20"/>
      <c r="I24" s="20">
        <f t="shared" si="1"/>
        <v>0</v>
      </c>
      <c r="J24" s="20">
        <f t="shared" si="1"/>
        <v>3353460.145</v>
      </c>
      <c r="K24" s="20">
        <f t="shared" si="1"/>
        <v>3951342.335</v>
      </c>
      <c r="L24" s="20">
        <f t="shared" si="1"/>
        <v>0</v>
      </c>
      <c r="M24" s="20"/>
      <c r="N24" s="20">
        <v>0</v>
      </c>
      <c r="O24" s="86">
        <v>4158314.06</v>
      </c>
      <c r="P24" s="20">
        <v>7902547.89</v>
      </c>
      <c r="Q24" s="20">
        <v>0</v>
      </c>
      <c r="R24" s="20"/>
      <c r="S24" s="20">
        <v>0</v>
      </c>
      <c r="T24" s="20">
        <v>2548606.23</v>
      </c>
      <c r="U24" s="20">
        <v>136.78</v>
      </c>
      <c r="V24" s="20">
        <v>0</v>
      </c>
      <c r="W24" s="2"/>
      <c r="X24" s="2"/>
      <c r="Y24" s="2"/>
      <c r="Z24" s="2"/>
      <c r="AA24" s="2"/>
      <c r="AB24" s="2"/>
    </row>
    <row r="25" spans="1:28" ht="15">
      <c r="A25" s="40">
        <f t="shared" si="2"/>
        <v>9</v>
      </c>
      <c r="B25" s="25" t="s">
        <v>585</v>
      </c>
      <c r="C25" s="20">
        <f t="shared" si="3"/>
        <v>-5950</v>
      </c>
      <c r="D25" s="20">
        <f t="shared" si="0"/>
        <v>0</v>
      </c>
      <c r="E25" s="20"/>
      <c r="F25" s="20"/>
      <c r="G25" s="20">
        <f t="shared" si="4"/>
        <v>-2975</v>
      </c>
      <c r="H25" s="20"/>
      <c r="I25" s="20">
        <f t="shared" si="1"/>
        <v>-2975</v>
      </c>
      <c r="J25" s="20">
        <f t="shared" si="1"/>
        <v>0</v>
      </c>
      <c r="K25" s="20">
        <f t="shared" si="1"/>
        <v>0</v>
      </c>
      <c r="L25" s="20">
        <f t="shared" si="1"/>
        <v>0</v>
      </c>
      <c r="M25" s="20"/>
      <c r="N25" s="20">
        <v>-5950</v>
      </c>
      <c r="O25" s="86">
        <v>0</v>
      </c>
      <c r="P25" s="20">
        <v>0</v>
      </c>
      <c r="Q25" s="20">
        <v>0</v>
      </c>
      <c r="R25" s="20"/>
      <c r="S25" s="20">
        <v>0</v>
      </c>
      <c r="T25" s="20">
        <v>0</v>
      </c>
      <c r="U25" s="20">
        <v>0</v>
      </c>
      <c r="V25" s="20">
        <v>0</v>
      </c>
      <c r="W25" s="2"/>
      <c r="X25" s="2"/>
      <c r="Y25" s="2"/>
      <c r="Z25" s="2"/>
      <c r="AA25" s="2"/>
      <c r="AB25" s="2"/>
    </row>
    <row r="26" spans="1:28" ht="15">
      <c r="A26" s="40">
        <f t="shared" si="2"/>
        <v>10</v>
      </c>
      <c r="B26" s="25" t="s">
        <v>586</v>
      </c>
      <c r="C26" s="20">
        <f t="shared" si="3"/>
        <v>0</v>
      </c>
      <c r="D26" s="20">
        <f t="shared" si="0"/>
        <v>0</v>
      </c>
      <c r="E26" s="20"/>
      <c r="F26" s="20"/>
      <c r="G26" s="20">
        <f>ROUND(SUM(C26:F26)/2,0)</f>
        <v>0</v>
      </c>
      <c r="H26" s="20"/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/>
      <c r="N26" s="20">
        <v>0</v>
      </c>
      <c r="O26" s="86">
        <v>0</v>
      </c>
      <c r="P26" s="20">
        <v>0</v>
      </c>
      <c r="Q26" s="20">
        <v>0</v>
      </c>
      <c r="R26" s="20"/>
      <c r="S26" s="20">
        <v>0</v>
      </c>
      <c r="T26" s="20">
        <v>0</v>
      </c>
      <c r="U26" s="20">
        <v>0</v>
      </c>
      <c r="V26" s="20">
        <v>0</v>
      </c>
      <c r="W26" s="2"/>
      <c r="X26" s="2"/>
      <c r="Y26" s="2"/>
      <c r="Z26" s="2"/>
      <c r="AA26" s="2"/>
      <c r="AB26" s="2"/>
    </row>
    <row r="27" spans="1:28" ht="15">
      <c r="A27" s="40">
        <f t="shared" si="2"/>
        <v>11</v>
      </c>
      <c r="B27" s="25" t="s">
        <v>587</v>
      </c>
      <c r="C27" s="20">
        <f t="shared" si="3"/>
        <v>-2168517.4</v>
      </c>
      <c r="D27" s="20">
        <f t="shared" si="0"/>
        <v>0</v>
      </c>
      <c r="E27" s="20"/>
      <c r="F27" s="20"/>
      <c r="G27" s="20">
        <f t="shared" si="4"/>
        <v>-1084259</v>
      </c>
      <c r="H27" s="20"/>
      <c r="I27" s="20">
        <f t="shared" si="1"/>
        <v>-1084258.7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/>
      <c r="N27" s="20">
        <v>-2168517.4</v>
      </c>
      <c r="O27" s="86">
        <v>0</v>
      </c>
      <c r="P27" s="20">
        <v>0</v>
      </c>
      <c r="Q27" s="20">
        <v>0</v>
      </c>
      <c r="R27" s="20"/>
      <c r="S27" s="20">
        <v>0</v>
      </c>
      <c r="T27" s="20">
        <v>0</v>
      </c>
      <c r="U27" s="20">
        <v>0</v>
      </c>
      <c r="V27" s="20">
        <v>0</v>
      </c>
      <c r="W27" s="2"/>
      <c r="X27" s="2"/>
      <c r="Y27" s="2"/>
      <c r="Z27" s="2"/>
      <c r="AA27" s="2"/>
      <c r="AB27" s="2"/>
    </row>
    <row r="28" spans="1:28" ht="15">
      <c r="A28" s="40">
        <f t="shared" si="2"/>
        <v>12</v>
      </c>
      <c r="B28" s="20" t="s">
        <v>588</v>
      </c>
      <c r="C28" s="20">
        <f t="shared" si="3"/>
        <v>-7878826.82</v>
      </c>
      <c r="D28" s="20">
        <f t="shared" si="0"/>
        <v>22918.43</v>
      </c>
      <c r="E28" s="20"/>
      <c r="F28" s="20"/>
      <c r="G28" s="20">
        <f t="shared" si="4"/>
        <v>-3927954</v>
      </c>
      <c r="H28" s="20"/>
      <c r="I28" s="20">
        <f t="shared" si="1"/>
        <v>-3984795.985</v>
      </c>
      <c r="J28" s="20">
        <f t="shared" si="1"/>
        <v>7889.795</v>
      </c>
      <c r="K28" s="20">
        <f t="shared" si="1"/>
        <v>21774.655</v>
      </c>
      <c r="L28" s="20">
        <f t="shared" si="1"/>
        <v>27177.34</v>
      </c>
      <c r="M28" s="20"/>
      <c r="N28" s="20">
        <v>-7969591.97</v>
      </c>
      <c r="O28" s="86">
        <v>9166.29</v>
      </c>
      <c r="P28" s="20">
        <v>27244.18</v>
      </c>
      <c r="Q28" s="20">
        <v>54354.68</v>
      </c>
      <c r="R28" s="20"/>
      <c r="S28" s="20">
        <v>0</v>
      </c>
      <c r="T28" s="20">
        <v>6613.3</v>
      </c>
      <c r="U28" s="20">
        <v>16305.13</v>
      </c>
      <c r="V28" s="20">
        <v>0</v>
      </c>
      <c r="W28" s="2"/>
      <c r="X28" s="2"/>
      <c r="Y28" s="2"/>
      <c r="Z28" s="2"/>
      <c r="AA28" s="2"/>
      <c r="AB28" s="2"/>
    </row>
    <row r="29" spans="1:28" ht="15">
      <c r="A29" s="40">
        <f t="shared" si="2"/>
        <v>13</v>
      </c>
      <c r="B29" s="25" t="s">
        <v>163</v>
      </c>
      <c r="C29" s="20">
        <f t="shared" si="3"/>
        <v>77491.90999999999</v>
      </c>
      <c r="D29" s="20">
        <f t="shared" si="0"/>
        <v>5527.71</v>
      </c>
      <c r="E29" s="20"/>
      <c r="F29" s="20"/>
      <c r="G29" s="20">
        <f t="shared" si="4"/>
        <v>41510</v>
      </c>
      <c r="H29" s="20"/>
      <c r="I29" s="20">
        <f t="shared" si="1"/>
        <v>37454.2</v>
      </c>
      <c r="J29" s="20">
        <f t="shared" si="1"/>
        <v>0</v>
      </c>
      <c r="K29" s="20">
        <f t="shared" si="1"/>
        <v>4055.61</v>
      </c>
      <c r="L29" s="20">
        <f t="shared" si="1"/>
        <v>0</v>
      </c>
      <c r="M29" s="20"/>
      <c r="N29" s="20">
        <v>74908.4</v>
      </c>
      <c r="O29" s="86">
        <v>0</v>
      </c>
      <c r="P29" s="20">
        <v>2583.51</v>
      </c>
      <c r="Q29" s="20">
        <v>0</v>
      </c>
      <c r="R29" s="20"/>
      <c r="S29" s="20">
        <v>0</v>
      </c>
      <c r="T29" s="20">
        <v>0</v>
      </c>
      <c r="U29" s="20">
        <v>5527.71</v>
      </c>
      <c r="V29" s="20">
        <v>0</v>
      </c>
      <c r="W29" s="2"/>
      <c r="X29" s="2"/>
      <c r="Y29" s="2"/>
      <c r="Z29" s="2"/>
      <c r="AA29" s="2"/>
      <c r="AB29" s="2"/>
    </row>
    <row r="30" spans="1:28" ht="15">
      <c r="A30" s="40">
        <f t="shared" si="2"/>
        <v>14</v>
      </c>
      <c r="B30" s="25" t="s">
        <v>589</v>
      </c>
      <c r="C30" s="20">
        <f t="shared" si="3"/>
        <v>0.35</v>
      </c>
      <c r="D30" s="20">
        <f t="shared" si="0"/>
        <v>1936.9</v>
      </c>
      <c r="E30" s="20"/>
      <c r="F30" s="20"/>
      <c r="G30" s="20">
        <f t="shared" si="4"/>
        <v>969</v>
      </c>
      <c r="H30" s="20"/>
      <c r="I30" s="20">
        <f t="shared" si="1"/>
        <v>0</v>
      </c>
      <c r="J30" s="20">
        <f t="shared" si="1"/>
        <v>0</v>
      </c>
      <c r="K30" s="20">
        <f t="shared" si="1"/>
        <v>968.625</v>
      </c>
      <c r="L30" s="20">
        <f t="shared" si="1"/>
        <v>0</v>
      </c>
      <c r="M30" s="20"/>
      <c r="N30" s="20">
        <v>0</v>
      </c>
      <c r="O30" s="86">
        <v>0</v>
      </c>
      <c r="P30" s="20">
        <v>0.35</v>
      </c>
      <c r="Q30" s="20">
        <v>0</v>
      </c>
      <c r="R30" s="20"/>
      <c r="S30" s="20">
        <v>0</v>
      </c>
      <c r="T30" s="20">
        <v>0</v>
      </c>
      <c r="U30" s="20">
        <v>1936.9</v>
      </c>
      <c r="V30" s="20">
        <v>0</v>
      </c>
      <c r="W30" s="2"/>
      <c r="X30" s="2"/>
      <c r="Y30" s="2"/>
      <c r="Z30" s="2"/>
      <c r="AA30" s="2"/>
      <c r="AB30" s="2"/>
    </row>
    <row r="31" spans="1:28" ht="15">
      <c r="A31" s="40">
        <f t="shared" si="2"/>
        <v>15</v>
      </c>
      <c r="B31" s="20" t="s">
        <v>590</v>
      </c>
      <c r="C31" s="20">
        <f t="shared" si="3"/>
        <v>46726.84</v>
      </c>
      <c r="D31" s="20">
        <f t="shared" si="0"/>
        <v>174296.35</v>
      </c>
      <c r="E31" s="20"/>
      <c r="F31" s="20"/>
      <c r="G31" s="20">
        <f t="shared" si="4"/>
        <v>110512</v>
      </c>
      <c r="H31" s="20"/>
      <c r="I31" s="20">
        <f t="shared" si="1"/>
        <v>20402.18</v>
      </c>
      <c r="J31" s="20">
        <f t="shared" si="1"/>
        <v>0</v>
      </c>
      <c r="K31" s="20">
        <f t="shared" si="1"/>
        <v>90109.41500000001</v>
      </c>
      <c r="L31" s="20">
        <f t="shared" si="1"/>
        <v>0</v>
      </c>
      <c r="M31" s="20"/>
      <c r="N31" s="20">
        <v>40804.36</v>
      </c>
      <c r="O31" s="86">
        <v>0</v>
      </c>
      <c r="P31" s="20">
        <v>5922.48</v>
      </c>
      <c r="Q31" s="20">
        <v>0</v>
      </c>
      <c r="R31" s="20"/>
      <c r="S31" s="20">
        <v>0</v>
      </c>
      <c r="T31" s="20">
        <v>0</v>
      </c>
      <c r="U31" s="20">
        <v>174296.35</v>
      </c>
      <c r="V31" s="20">
        <v>0</v>
      </c>
      <c r="W31" s="2"/>
      <c r="X31" s="2"/>
      <c r="Y31" s="2"/>
      <c r="Z31" s="2"/>
      <c r="AA31" s="2"/>
      <c r="AB31" s="2"/>
    </row>
    <row r="32" spans="1:28" ht="15">
      <c r="A32" s="40">
        <f t="shared" si="2"/>
        <v>16</v>
      </c>
      <c r="B32" s="20" t="s">
        <v>591</v>
      </c>
      <c r="C32" s="20">
        <f t="shared" si="3"/>
        <v>0</v>
      </c>
      <c r="D32" s="20">
        <f t="shared" si="0"/>
        <v>0</v>
      </c>
      <c r="E32" s="20"/>
      <c r="F32" s="20"/>
      <c r="G32" s="20">
        <f>ROUND(SUM(C32:F32)/2,0)</f>
        <v>0</v>
      </c>
      <c r="H32" s="20"/>
      <c r="I32" s="20">
        <f t="shared" si="1"/>
        <v>0</v>
      </c>
      <c r="J32" s="20">
        <f t="shared" si="1"/>
        <v>0</v>
      </c>
      <c r="K32" s="20">
        <f t="shared" si="1"/>
        <v>0</v>
      </c>
      <c r="L32" s="20">
        <f t="shared" si="1"/>
        <v>0</v>
      </c>
      <c r="M32" s="20"/>
      <c r="N32" s="20">
        <v>0</v>
      </c>
      <c r="O32" s="86">
        <v>0</v>
      </c>
      <c r="P32" s="20">
        <v>0</v>
      </c>
      <c r="Q32" s="20">
        <v>0</v>
      </c>
      <c r="R32" s="20"/>
      <c r="S32" s="20">
        <v>0</v>
      </c>
      <c r="T32" s="20">
        <v>0</v>
      </c>
      <c r="U32" s="20">
        <v>0</v>
      </c>
      <c r="V32" s="20">
        <v>0</v>
      </c>
      <c r="W32" s="2"/>
      <c r="X32" s="2"/>
      <c r="Y32" s="2"/>
      <c r="Z32" s="2"/>
      <c r="AA32" s="2"/>
      <c r="AB32" s="2"/>
    </row>
    <row r="33" spans="1:28" ht="15">
      <c r="A33" s="40">
        <f t="shared" si="2"/>
        <v>17</v>
      </c>
      <c r="B33" s="25" t="s">
        <v>167</v>
      </c>
      <c r="C33" s="20">
        <f t="shared" si="3"/>
        <v>296720.34</v>
      </c>
      <c r="D33" s="20">
        <f t="shared" si="0"/>
        <v>174417.28</v>
      </c>
      <c r="E33" s="20"/>
      <c r="F33" s="20"/>
      <c r="G33" s="20">
        <f t="shared" si="4"/>
        <v>235569</v>
      </c>
      <c r="H33" s="20"/>
      <c r="I33" s="20">
        <f t="shared" si="1"/>
        <v>47744.13</v>
      </c>
      <c r="J33" s="20">
        <f t="shared" si="1"/>
        <v>4906.389999999999</v>
      </c>
      <c r="K33" s="20">
        <f t="shared" si="1"/>
        <v>178395.94</v>
      </c>
      <c r="L33" s="20">
        <f t="shared" si="1"/>
        <v>4522.35</v>
      </c>
      <c r="M33" s="20"/>
      <c r="N33" s="20">
        <v>95488.26</v>
      </c>
      <c r="O33" s="86">
        <v>3063.2</v>
      </c>
      <c r="P33" s="20">
        <v>189124.18</v>
      </c>
      <c r="Q33" s="20">
        <v>9044.7</v>
      </c>
      <c r="R33" s="20"/>
      <c r="S33" s="20">
        <v>0</v>
      </c>
      <c r="T33" s="20">
        <v>6749.58</v>
      </c>
      <c r="U33" s="20">
        <v>167667.7</v>
      </c>
      <c r="V33" s="20">
        <v>0</v>
      </c>
      <c r="W33" s="2"/>
      <c r="X33" s="2"/>
      <c r="Y33" s="2"/>
      <c r="Z33" s="2"/>
      <c r="AA33" s="2"/>
      <c r="AB33" s="2"/>
    </row>
    <row r="34" spans="1:28" ht="15">
      <c r="A34" s="40">
        <f t="shared" si="2"/>
        <v>18</v>
      </c>
      <c r="B34" s="20" t="s">
        <v>592</v>
      </c>
      <c r="C34" s="20">
        <f t="shared" si="3"/>
        <v>0</v>
      </c>
      <c r="D34" s="20">
        <f t="shared" si="0"/>
        <v>0</v>
      </c>
      <c r="E34" s="20"/>
      <c r="F34" s="20"/>
      <c r="G34" s="20">
        <f t="shared" si="4"/>
        <v>0</v>
      </c>
      <c r="H34" s="20"/>
      <c r="I34" s="20">
        <f t="shared" si="1"/>
        <v>0</v>
      </c>
      <c r="J34" s="20">
        <f t="shared" si="1"/>
        <v>0</v>
      </c>
      <c r="K34" s="20">
        <f t="shared" si="1"/>
        <v>0</v>
      </c>
      <c r="L34" s="20">
        <f t="shared" si="1"/>
        <v>0</v>
      </c>
      <c r="M34" s="20"/>
      <c r="N34" s="20">
        <v>0</v>
      </c>
      <c r="O34" s="86">
        <v>0</v>
      </c>
      <c r="P34" s="20">
        <v>0</v>
      </c>
      <c r="Q34" s="20">
        <v>0</v>
      </c>
      <c r="R34" s="20"/>
      <c r="S34" s="20">
        <v>0</v>
      </c>
      <c r="T34" s="20">
        <v>0</v>
      </c>
      <c r="U34" s="20">
        <v>0</v>
      </c>
      <c r="V34" s="20">
        <v>0</v>
      </c>
      <c r="W34" s="2"/>
      <c r="X34" s="2"/>
      <c r="Y34" s="2"/>
      <c r="Z34" s="2"/>
      <c r="AA34" s="2"/>
      <c r="AB34" s="2"/>
    </row>
    <row r="35" spans="1:28" ht="15">
      <c r="A35" s="40">
        <f t="shared" si="2"/>
        <v>19</v>
      </c>
      <c r="B35" s="20" t="s">
        <v>593</v>
      </c>
      <c r="C35" s="20">
        <f t="shared" si="3"/>
        <v>0</v>
      </c>
      <c r="D35" s="20">
        <f t="shared" si="0"/>
        <v>0</v>
      </c>
      <c r="E35" s="20"/>
      <c r="F35" s="20"/>
      <c r="G35" s="20">
        <f>ROUND(SUM(C35:F35)/2,0)</f>
        <v>0</v>
      </c>
      <c r="H35" s="20"/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/>
      <c r="N35" s="20">
        <v>0</v>
      </c>
      <c r="O35" s="86">
        <v>0</v>
      </c>
      <c r="P35" s="20">
        <v>0</v>
      </c>
      <c r="Q35" s="20">
        <v>0</v>
      </c>
      <c r="R35" s="20"/>
      <c r="S35" s="20">
        <v>0</v>
      </c>
      <c r="T35" s="20">
        <v>0</v>
      </c>
      <c r="U35" s="20">
        <v>0</v>
      </c>
      <c r="V35" s="20">
        <v>0</v>
      </c>
      <c r="W35" s="2"/>
      <c r="X35" s="2"/>
      <c r="Y35" s="2"/>
      <c r="Z35" s="2"/>
      <c r="AA35" s="2"/>
      <c r="AB35" s="2"/>
    </row>
    <row r="36" spans="1:28" ht="15">
      <c r="A36" s="40">
        <f t="shared" si="2"/>
        <v>20</v>
      </c>
      <c r="B36" s="20" t="s">
        <v>168</v>
      </c>
      <c r="C36" s="20">
        <f t="shared" si="3"/>
        <v>45293.72</v>
      </c>
      <c r="D36" s="20">
        <f t="shared" si="0"/>
        <v>12244585.57</v>
      </c>
      <c r="E36" s="20"/>
      <c r="F36" s="20"/>
      <c r="G36" s="20">
        <f t="shared" si="4"/>
        <v>6144940</v>
      </c>
      <c r="H36" s="20"/>
      <c r="I36" s="20">
        <f t="shared" si="1"/>
        <v>10682.66</v>
      </c>
      <c r="J36" s="20">
        <f t="shared" si="1"/>
        <v>0.09</v>
      </c>
      <c r="K36" s="20">
        <f t="shared" si="1"/>
        <v>6134256.8950000005</v>
      </c>
      <c r="L36" s="20">
        <f t="shared" si="1"/>
        <v>0</v>
      </c>
      <c r="M36" s="20"/>
      <c r="N36" s="20">
        <v>21365.32</v>
      </c>
      <c r="O36" s="86">
        <v>0.18</v>
      </c>
      <c r="P36" s="20">
        <v>23928.22</v>
      </c>
      <c r="Q36" s="20">
        <v>0</v>
      </c>
      <c r="R36" s="20"/>
      <c r="S36" s="20">
        <v>0</v>
      </c>
      <c r="T36" s="20">
        <v>0</v>
      </c>
      <c r="U36" s="20">
        <v>12244585.57</v>
      </c>
      <c r="V36" s="20">
        <v>0</v>
      </c>
      <c r="W36" s="2"/>
      <c r="X36" s="2"/>
      <c r="Y36" s="2"/>
      <c r="Z36" s="2"/>
      <c r="AA36" s="2"/>
      <c r="AB36" s="2"/>
    </row>
    <row r="37" spans="1:28" ht="15">
      <c r="A37" s="40">
        <f t="shared" si="2"/>
        <v>21</v>
      </c>
      <c r="B37" s="20" t="s">
        <v>717</v>
      </c>
      <c r="C37" s="20">
        <f>SUM(N37:Q37)</f>
        <v>0</v>
      </c>
      <c r="D37" s="20">
        <f>SUM(S37:V37)</f>
        <v>2804063.36</v>
      </c>
      <c r="E37" s="20"/>
      <c r="F37" s="20"/>
      <c r="G37" s="20">
        <f>ROUND(SUM(C37:F37)/2,0)</f>
        <v>1402032</v>
      </c>
      <c r="H37" s="20"/>
      <c r="I37" s="20">
        <f t="shared" si="1"/>
        <v>0</v>
      </c>
      <c r="J37" s="20">
        <f t="shared" si="1"/>
        <v>0</v>
      </c>
      <c r="K37" s="20">
        <f t="shared" si="1"/>
        <v>1402031.68</v>
      </c>
      <c r="L37" s="20">
        <f t="shared" si="1"/>
        <v>0</v>
      </c>
      <c r="M37" s="20"/>
      <c r="N37" s="86">
        <v>0</v>
      </c>
      <c r="O37" s="86">
        <v>0</v>
      </c>
      <c r="P37" s="86">
        <v>0</v>
      </c>
      <c r="Q37" s="86">
        <v>0</v>
      </c>
      <c r="R37" s="20"/>
      <c r="S37" s="20">
        <v>0</v>
      </c>
      <c r="T37" s="86">
        <v>0</v>
      </c>
      <c r="U37" s="86">
        <v>2804063.36</v>
      </c>
      <c r="V37" s="20">
        <v>0</v>
      </c>
      <c r="W37" s="2"/>
      <c r="X37" s="2"/>
      <c r="Y37" s="2"/>
      <c r="Z37" s="2"/>
      <c r="AA37" s="2"/>
      <c r="AB37" s="2"/>
    </row>
    <row r="38" spans="1:28" ht="15">
      <c r="A38" s="40">
        <f t="shared" si="2"/>
        <v>22</v>
      </c>
      <c r="B38" s="20" t="s">
        <v>693</v>
      </c>
      <c r="C38" s="20">
        <f>SUM(N38:Q38)</f>
        <v>0</v>
      </c>
      <c r="D38" s="20">
        <f>SUM(S38:V38)</f>
        <v>496682.03</v>
      </c>
      <c r="E38" s="20"/>
      <c r="F38" s="20"/>
      <c r="G38" s="20">
        <f>ROUND(SUM(C38:F38)/2,0)</f>
        <v>248341</v>
      </c>
      <c r="H38" s="20"/>
      <c r="I38" s="20">
        <f t="shared" si="1"/>
        <v>0</v>
      </c>
      <c r="J38" s="20">
        <f t="shared" si="1"/>
        <v>0</v>
      </c>
      <c r="K38" s="20">
        <f t="shared" si="1"/>
        <v>248341.015</v>
      </c>
      <c r="L38" s="20">
        <f t="shared" si="1"/>
        <v>0</v>
      </c>
      <c r="M38" s="20"/>
      <c r="N38" s="86">
        <v>0</v>
      </c>
      <c r="O38" s="86">
        <v>0</v>
      </c>
      <c r="P38" s="86">
        <v>0</v>
      </c>
      <c r="Q38" s="86">
        <v>0</v>
      </c>
      <c r="R38" s="20"/>
      <c r="S38" s="20">
        <v>0</v>
      </c>
      <c r="T38" s="86">
        <v>0</v>
      </c>
      <c r="U38" s="86">
        <v>496682.03</v>
      </c>
      <c r="V38" s="20">
        <v>0</v>
      </c>
      <c r="W38" s="2"/>
      <c r="X38" s="2"/>
      <c r="Y38" s="2"/>
      <c r="Z38" s="2"/>
      <c r="AA38" s="2"/>
      <c r="AB38" s="2"/>
    </row>
    <row r="39" spans="1:28" ht="15">
      <c r="A39" s="40">
        <f>+A36+1</f>
        <v>21</v>
      </c>
      <c r="B39" s="20" t="s">
        <v>594</v>
      </c>
      <c r="C39" s="20">
        <f t="shared" si="3"/>
        <v>854440.65</v>
      </c>
      <c r="D39" s="20">
        <f t="shared" si="0"/>
        <v>0</v>
      </c>
      <c r="E39" s="20"/>
      <c r="F39" s="20"/>
      <c r="G39" s="20">
        <f t="shared" si="4"/>
        <v>427220</v>
      </c>
      <c r="H39" s="20"/>
      <c r="I39" s="20">
        <f t="shared" si="1"/>
        <v>427220.325</v>
      </c>
      <c r="J39" s="20">
        <f t="shared" si="1"/>
        <v>0</v>
      </c>
      <c r="K39" s="20">
        <f t="shared" si="1"/>
        <v>0</v>
      </c>
      <c r="L39" s="20">
        <f t="shared" si="1"/>
        <v>0</v>
      </c>
      <c r="M39" s="20"/>
      <c r="N39" s="20">
        <v>854440.65</v>
      </c>
      <c r="O39" s="86">
        <v>0</v>
      </c>
      <c r="P39" s="20">
        <v>0</v>
      </c>
      <c r="Q39" s="20">
        <v>0</v>
      </c>
      <c r="R39" s="20"/>
      <c r="S39" s="20">
        <v>0</v>
      </c>
      <c r="T39" s="20">
        <v>0</v>
      </c>
      <c r="U39" s="20">
        <v>0</v>
      </c>
      <c r="V39" s="20">
        <v>0</v>
      </c>
      <c r="W39" s="2"/>
      <c r="X39" s="2"/>
      <c r="Y39" s="2"/>
      <c r="Z39" s="2"/>
      <c r="AA39" s="2"/>
      <c r="AB39" s="2"/>
    </row>
    <row r="40" spans="1:28" ht="15">
      <c r="A40" s="40">
        <f t="shared" si="2"/>
        <v>22</v>
      </c>
      <c r="B40" s="25" t="s">
        <v>595</v>
      </c>
      <c r="C40" s="20">
        <f t="shared" si="3"/>
        <v>-99383.55</v>
      </c>
      <c r="D40" s="20">
        <f t="shared" si="0"/>
        <v>0</v>
      </c>
      <c r="E40" s="20"/>
      <c r="F40" s="20"/>
      <c r="G40" s="20">
        <f>ROUND(SUM(C40:F40)/2,0)</f>
        <v>-49692</v>
      </c>
      <c r="H40" s="20"/>
      <c r="I40" s="20">
        <f t="shared" si="1"/>
        <v>-49691.775</v>
      </c>
      <c r="J40" s="20">
        <f t="shared" si="1"/>
        <v>0</v>
      </c>
      <c r="K40" s="20">
        <f t="shared" si="1"/>
        <v>0</v>
      </c>
      <c r="L40" s="20">
        <f t="shared" si="1"/>
        <v>0</v>
      </c>
      <c r="M40" s="20"/>
      <c r="N40" s="20">
        <v>-99383.55</v>
      </c>
      <c r="O40" s="86">
        <v>0</v>
      </c>
      <c r="P40" s="20">
        <v>0</v>
      </c>
      <c r="Q40" s="20">
        <v>0</v>
      </c>
      <c r="R40" s="20"/>
      <c r="S40" s="20">
        <v>0</v>
      </c>
      <c r="T40" s="20">
        <v>0</v>
      </c>
      <c r="U40" s="20">
        <v>0</v>
      </c>
      <c r="V40" s="20">
        <v>0</v>
      </c>
      <c r="W40" s="2"/>
      <c r="X40" s="2"/>
      <c r="Y40" s="2"/>
      <c r="Z40" s="2"/>
      <c r="AA40" s="2"/>
      <c r="AB40" s="2"/>
    </row>
    <row r="41" spans="1:28" ht="15">
      <c r="A41" s="40">
        <f t="shared" si="2"/>
        <v>23</v>
      </c>
      <c r="B41" s="25" t="s">
        <v>596</v>
      </c>
      <c r="C41" s="20">
        <f t="shared" si="3"/>
        <v>2752815.78</v>
      </c>
      <c r="D41" s="20">
        <f t="shared" si="0"/>
        <v>2752815.81</v>
      </c>
      <c r="E41" s="20"/>
      <c r="F41" s="20"/>
      <c r="G41" s="20">
        <f t="shared" si="4"/>
        <v>2752816</v>
      </c>
      <c r="H41" s="20"/>
      <c r="I41" s="20">
        <f t="shared" si="1"/>
        <v>0</v>
      </c>
      <c r="J41" s="20">
        <f t="shared" si="1"/>
        <v>0</v>
      </c>
      <c r="K41" s="20">
        <f t="shared" si="1"/>
        <v>2752815.795</v>
      </c>
      <c r="L41" s="20">
        <f t="shared" si="1"/>
        <v>0</v>
      </c>
      <c r="M41" s="20"/>
      <c r="N41" s="20">
        <v>0</v>
      </c>
      <c r="O41" s="86">
        <v>0</v>
      </c>
      <c r="P41" s="20">
        <v>2752815.78</v>
      </c>
      <c r="Q41" s="20">
        <v>0</v>
      </c>
      <c r="R41" s="20"/>
      <c r="S41" s="20">
        <v>0</v>
      </c>
      <c r="T41" s="20">
        <v>0</v>
      </c>
      <c r="U41" s="20">
        <v>2752815.81</v>
      </c>
      <c r="V41" s="20">
        <v>0</v>
      </c>
      <c r="W41" s="2"/>
      <c r="X41" s="2"/>
      <c r="Y41" s="2"/>
      <c r="Z41" s="2"/>
      <c r="AA41" s="2"/>
      <c r="AB41" s="2"/>
    </row>
    <row r="42" spans="1:28" ht="15">
      <c r="A42" s="40">
        <f t="shared" si="2"/>
        <v>24</v>
      </c>
      <c r="B42" s="25" t="s">
        <v>597</v>
      </c>
      <c r="C42" s="20">
        <f t="shared" si="3"/>
        <v>0</v>
      </c>
      <c r="D42" s="20">
        <f t="shared" si="0"/>
        <v>0</v>
      </c>
      <c r="E42" s="20"/>
      <c r="F42" s="20"/>
      <c r="G42" s="20">
        <f t="shared" si="4"/>
        <v>0</v>
      </c>
      <c r="H42" s="20"/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/>
      <c r="N42" s="20">
        <v>0</v>
      </c>
      <c r="O42" s="86">
        <v>0</v>
      </c>
      <c r="P42" s="20">
        <v>0</v>
      </c>
      <c r="Q42" s="20">
        <v>0</v>
      </c>
      <c r="R42" s="20"/>
      <c r="S42" s="20">
        <v>0</v>
      </c>
      <c r="T42" s="20">
        <v>0</v>
      </c>
      <c r="U42" s="20">
        <v>0</v>
      </c>
      <c r="V42" s="20">
        <v>0</v>
      </c>
      <c r="W42" s="2"/>
      <c r="X42" s="2"/>
      <c r="Y42" s="2"/>
      <c r="Z42" s="2"/>
      <c r="AA42" s="2"/>
      <c r="AB42" s="2"/>
    </row>
    <row r="43" spans="1:28" ht="15">
      <c r="A43" s="40">
        <f t="shared" si="2"/>
        <v>25</v>
      </c>
      <c r="B43" s="25" t="s">
        <v>598</v>
      </c>
      <c r="C43" s="20">
        <f t="shared" si="3"/>
        <v>0</v>
      </c>
      <c r="D43" s="20">
        <f t="shared" si="0"/>
        <v>0</v>
      </c>
      <c r="E43" s="20"/>
      <c r="F43" s="20"/>
      <c r="G43" s="20">
        <f>ROUND(SUM(C43:F43)/2,0)</f>
        <v>0</v>
      </c>
      <c r="H43" s="20"/>
      <c r="I43" s="20">
        <f t="shared" si="1"/>
        <v>0</v>
      </c>
      <c r="J43" s="20">
        <f t="shared" si="1"/>
        <v>0</v>
      </c>
      <c r="K43" s="20">
        <f t="shared" si="1"/>
        <v>0</v>
      </c>
      <c r="L43" s="20">
        <f t="shared" si="1"/>
        <v>0</v>
      </c>
      <c r="M43" s="20"/>
      <c r="N43" s="20">
        <v>0</v>
      </c>
      <c r="O43" s="86">
        <v>0</v>
      </c>
      <c r="P43" s="20">
        <v>0</v>
      </c>
      <c r="Q43" s="20">
        <v>0</v>
      </c>
      <c r="R43" s="20"/>
      <c r="S43" s="20">
        <v>0</v>
      </c>
      <c r="T43" s="20">
        <v>0</v>
      </c>
      <c r="U43" s="20">
        <v>0</v>
      </c>
      <c r="V43" s="20">
        <v>0</v>
      </c>
      <c r="W43" s="2"/>
      <c r="X43" s="2"/>
      <c r="Y43" s="2"/>
      <c r="Z43" s="2"/>
      <c r="AA43" s="2"/>
      <c r="AB43" s="2"/>
    </row>
    <row r="44" spans="1:28" ht="15">
      <c r="A44" s="40">
        <f t="shared" si="2"/>
        <v>26</v>
      </c>
      <c r="B44" s="20" t="s">
        <v>670</v>
      </c>
      <c r="C44" s="20">
        <f>SUM(N44:Q44)</f>
        <v>0</v>
      </c>
      <c r="D44" s="20">
        <f>SUM(S44:V44)</f>
        <v>677255.2300000001</v>
      </c>
      <c r="E44" s="20"/>
      <c r="F44" s="20"/>
      <c r="G44" s="20">
        <f>ROUND(SUM(C44:F44)/2,0)</f>
        <v>338628</v>
      </c>
      <c r="H44" s="20"/>
      <c r="I44" s="20">
        <f>(+N44+S44)/2</f>
        <v>0</v>
      </c>
      <c r="J44" s="20">
        <f>(+O44+T44)/2</f>
        <v>43731.275</v>
      </c>
      <c r="K44" s="20">
        <f>(+P44+U44)/2</f>
        <v>294896.34</v>
      </c>
      <c r="L44" s="20">
        <f>(+Q44+V44)/2</f>
        <v>0</v>
      </c>
      <c r="M44" s="20"/>
      <c r="N44" s="20">
        <v>0</v>
      </c>
      <c r="O44" s="6">
        <v>0</v>
      </c>
      <c r="P44" s="20">
        <v>0</v>
      </c>
      <c r="Q44" s="20">
        <v>0</v>
      </c>
      <c r="R44" s="20"/>
      <c r="S44" s="20">
        <v>0</v>
      </c>
      <c r="T44" s="20">
        <v>87462.55</v>
      </c>
      <c r="U44" s="20">
        <v>589792.68</v>
      </c>
      <c r="V44" s="20">
        <v>0</v>
      </c>
      <c r="W44" s="2"/>
      <c r="X44" s="2"/>
      <c r="Y44" s="2"/>
      <c r="Z44" s="2"/>
      <c r="AA44" s="2"/>
      <c r="AB44" s="2"/>
    </row>
    <row r="45" spans="1:28" ht="15">
      <c r="A45" s="40">
        <f t="shared" si="2"/>
        <v>27</v>
      </c>
      <c r="B45" s="20" t="s">
        <v>171</v>
      </c>
      <c r="C45" s="20">
        <f t="shared" si="3"/>
        <v>5662992.74</v>
      </c>
      <c r="D45" s="20">
        <f t="shared" si="0"/>
        <v>3934016.74</v>
      </c>
      <c r="E45" s="20"/>
      <c r="F45" s="20"/>
      <c r="G45" s="20">
        <f t="shared" si="4"/>
        <v>4798505</v>
      </c>
      <c r="H45" s="20"/>
      <c r="I45" s="20">
        <f t="shared" si="1"/>
        <v>1195327.74</v>
      </c>
      <c r="J45" s="20">
        <f t="shared" si="1"/>
        <v>669769.995</v>
      </c>
      <c r="K45" s="20">
        <f t="shared" si="1"/>
        <v>2862216.6550000003</v>
      </c>
      <c r="L45" s="20">
        <f t="shared" si="1"/>
        <v>71190.35</v>
      </c>
      <c r="M45" s="20"/>
      <c r="N45" s="20">
        <v>2390655.48</v>
      </c>
      <c r="O45" s="6">
        <v>628891.97</v>
      </c>
      <c r="P45" s="20">
        <v>2501064.59</v>
      </c>
      <c r="Q45" s="20">
        <v>142380.7</v>
      </c>
      <c r="R45" s="20"/>
      <c r="S45" s="20">
        <v>0</v>
      </c>
      <c r="T45" s="20">
        <v>710648.02</v>
      </c>
      <c r="U45" s="20">
        <v>3223368.72</v>
      </c>
      <c r="V45" s="20">
        <v>0</v>
      </c>
      <c r="W45" s="2"/>
      <c r="X45" s="2"/>
      <c r="Y45" s="2"/>
      <c r="Z45" s="2"/>
      <c r="AA45" s="2"/>
      <c r="AB45" s="2"/>
    </row>
    <row r="46" spans="1:28" ht="15">
      <c r="A46" s="40">
        <f t="shared" si="2"/>
        <v>28</v>
      </c>
      <c r="B46" s="25" t="s">
        <v>599</v>
      </c>
      <c r="C46" s="20">
        <f t="shared" si="3"/>
        <v>0</v>
      </c>
      <c r="D46" s="20">
        <f t="shared" si="0"/>
        <v>0</v>
      </c>
      <c r="E46" s="20"/>
      <c r="F46" s="20"/>
      <c r="G46" s="20">
        <f>ROUND(SUM(C46:F46)/2,0)</f>
        <v>0</v>
      </c>
      <c r="H46" s="20"/>
      <c r="I46" s="20">
        <f t="shared" si="1"/>
        <v>0</v>
      </c>
      <c r="J46" s="20">
        <f t="shared" si="1"/>
        <v>0</v>
      </c>
      <c r="K46" s="20">
        <f t="shared" si="1"/>
        <v>0</v>
      </c>
      <c r="L46" s="20">
        <f t="shared" si="1"/>
        <v>0</v>
      </c>
      <c r="M46" s="20"/>
      <c r="N46" s="20">
        <v>0</v>
      </c>
      <c r="O46" s="6">
        <v>0</v>
      </c>
      <c r="P46" s="20">
        <v>0</v>
      </c>
      <c r="Q46" s="20">
        <v>0</v>
      </c>
      <c r="R46" s="20"/>
      <c r="S46" s="20">
        <v>0</v>
      </c>
      <c r="T46" s="20">
        <v>0</v>
      </c>
      <c r="U46" s="20">
        <v>0</v>
      </c>
      <c r="V46" s="20">
        <v>0</v>
      </c>
      <c r="W46" s="2"/>
      <c r="X46" s="2"/>
      <c r="Y46" s="2"/>
      <c r="Z46" s="2"/>
      <c r="AA46" s="2"/>
      <c r="AB46" s="2"/>
    </row>
    <row r="47" spans="1:28" ht="15">
      <c r="A47" s="40">
        <f t="shared" si="2"/>
        <v>29</v>
      </c>
      <c r="B47" s="20" t="s">
        <v>173</v>
      </c>
      <c r="C47" s="20">
        <f t="shared" si="3"/>
        <v>5383438.109999999</v>
      </c>
      <c r="D47" s="20">
        <f t="shared" si="0"/>
        <v>3190233.1300000004</v>
      </c>
      <c r="E47" s="20"/>
      <c r="F47" s="20"/>
      <c r="G47" s="20">
        <f t="shared" si="4"/>
        <v>4286836</v>
      </c>
      <c r="H47" s="20"/>
      <c r="I47" s="20">
        <f t="shared" si="1"/>
        <v>1051527.025</v>
      </c>
      <c r="J47" s="20">
        <f t="shared" si="1"/>
        <v>448709.33999999997</v>
      </c>
      <c r="K47" s="20">
        <f t="shared" si="1"/>
        <v>2701855.26</v>
      </c>
      <c r="L47" s="20">
        <f t="shared" si="1"/>
        <v>84743.995</v>
      </c>
      <c r="M47" s="20"/>
      <c r="N47" s="20">
        <v>2103054.05</v>
      </c>
      <c r="O47" s="6">
        <v>452517.54</v>
      </c>
      <c r="P47" s="20">
        <v>2658378.53</v>
      </c>
      <c r="Q47" s="20">
        <v>169487.99</v>
      </c>
      <c r="R47" s="20"/>
      <c r="S47" s="20">
        <v>0</v>
      </c>
      <c r="T47" s="20">
        <v>444901.14</v>
      </c>
      <c r="U47" s="20">
        <v>2745331.99</v>
      </c>
      <c r="V47" s="20">
        <v>0</v>
      </c>
      <c r="W47" s="2"/>
      <c r="X47" s="2"/>
      <c r="Y47" s="2"/>
      <c r="Z47" s="2"/>
      <c r="AA47" s="2"/>
      <c r="AB47" s="2"/>
    </row>
    <row r="48" spans="1:28" ht="15">
      <c r="A48" s="40">
        <f t="shared" si="2"/>
        <v>30</v>
      </c>
      <c r="B48" s="20" t="s">
        <v>718</v>
      </c>
      <c r="C48" s="20">
        <f>SUM(N48:Q48)</f>
        <v>0.14</v>
      </c>
      <c r="D48" s="20">
        <f>SUM(S48:V48)</f>
        <v>17928.55</v>
      </c>
      <c r="E48" s="20"/>
      <c r="F48" s="20"/>
      <c r="G48" s="20">
        <f>ROUND(SUM(C48:F48)/2,0)</f>
        <v>8964</v>
      </c>
      <c r="H48" s="20"/>
      <c r="I48" s="20">
        <f>(+N48+S48)/2</f>
        <v>0</v>
      </c>
      <c r="J48" s="20">
        <f>(+O48+T48)/2</f>
        <v>0</v>
      </c>
      <c r="K48" s="20">
        <f>(+P48+U48)/2</f>
        <v>8964.345</v>
      </c>
      <c r="L48" s="20">
        <f>(+Q48+V48)/2</f>
        <v>0</v>
      </c>
      <c r="M48" s="20"/>
      <c r="N48" s="20">
        <v>0</v>
      </c>
      <c r="O48" s="6">
        <v>0</v>
      </c>
      <c r="P48" s="20">
        <v>0.14</v>
      </c>
      <c r="Q48" s="20">
        <v>0</v>
      </c>
      <c r="R48" s="20"/>
      <c r="S48" s="20">
        <v>0</v>
      </c>
      <c r="T48" s="20">
        <v>0</v>
      </c>
      <c r="U48" s="20">
        <v>17928.55</v>
      </c>
      <c r="V48" s="20">
        <v>0</v>
      </c>
      <c r="W48" s="2"/>
      <c r="X48" s="2"/>
      <c r="Y48" s="2"/>
      <c r="Z48" s="2"/>
      <c r="AA48" s="2"/>
      <c r="AB48" s="2"/>
    </row>
    <row r="49" spans="1:28" ht="15">
      <c r="A49" s="40">
        <f t="shared" si="2"/>
        <v>31</v>
      </c>
      <c r="B49" s="20" t="s">
        <v>174</v>
      </c>
      <c r="C49" s="20">
        <f t="shared" si="3"/>
        <v>34205.63</v>
      </c>
      <c r="D49" s="20">
        <f t="shared" si="0"/>
        <v>0</v>
      </c>
      <c r="E49" s="20"/>
      <c r="F49" s="20"/>
      <c r="G49" s="20">
        <f t="shared" si="4"/>
        <v>17103</v>
      </c>
      <c r="H49" s="20"/>
      <c r="I49" s="20">
        <f t="shared" si="1"/>
        <v>17102.815</v>
      </c>
      <c r="J49" s="20">
        <f t="shared" si="1"/>
        <v>0</v>
      </c>
      <c r="K49" s="20">
        <f t="shared" si="1"/>
        <v>0</v>
      </c>
      <c r="L49" s="20">
        <f t="shared" si="1"/>
        <v>0</v>
      </c>
      <c r="M49" s="20"/>
      <c r="N49" s="20">
        <v>34205.63</v>
      </c>
      <c r="O49" s="6">
        <v>0</v>
      </c>
      <c r="P49" s="20">
        <v>0</v>
      </c>
      <c r="Q49" s="20">
        <v>0</v>
      </c>
      <c r="R49" s="20"/>
      <c r="S49" s="20">
        <v>0</v>
      </c>
      <c r="T49" s="20">
        <v>0</v>
      </c>
      <c r="U49" s="20">
        <v>0</v>
      </c>
      <c r="V49" s="20">
        <v>0</v>
      </c>
      <c r="W49" s="2"/>
      <c r="X49" s="2"/>
      <c r="Y49" s="2"/>
      <c r="Z49" s="2"/>
      <c r="AA49" s="2"/>
      <c r="AB49" s="2"/>
    </row>
    <row r="50" spans="1:28" ht="15">
      <c r="A50" s="40">
        <f t="shared" si="2"/>
        <v>32</v>
      </c>
      <c r="B50" s="20" t="s">
        <v>600</v>
      </c>
      <c r="C50" s="20">
        <f t="shared" si="3"/>
        <v>490000</v>
      </c>
      <c r="D50" s="20">
        <f t="shared" si="0"/>
        <v>154209.65</v>
      </c>
      <c r="E50" s="20"/>
      <c r="F50" s="20"/>
      <c r="G50" s="20">
        <f t="shared" si="4"/>
        <v>322105</v>
      </c>
      <c r="H50" s="20"/>
      <c r="I50" s="20">
        <f t="shared" si="1"/>
        <v>0</v>
      </c>
      <c r="J50" s="20">
        <f t="shared" si="1"/>
        <v>0</v>
      </c>
      <c r="K50" s="20">
        <f t="shared" si="1"/>
        <v>322104.825</v>
      </c>
      <c r="L50" s="20">
        <f t="shared" si="1"/>
        <v>0</v>
      </c>
      <c r="M50" s="20"/>
      <c r="N50" s="20">
        <v>0</v>
      </c>
      <c r="O50" s="6">
        <v>0</v>
      </c>
      <c r="P50" s="20">
        <v>490000</v>
      </c>
      <c r="Q50" s="20">
        <v>0</v>
      </c>
      <c r="R50" s="20"/>
      <c r="S50" s="20">
        <v>0</v>
      </c>
      <c r="T50" s="20">
        <v>0</v>
      </c>
      <c r="U50" s="20">
        <v>154209.65</v>
      </c>
      <c r="V50" s="20">
        <v>0</v>
      </c>
      <c r="W50" s="2"/>
      <c r="X50" s="2"/>
      <c r="Y50" s="2"/>
      <c r="Z50" s="2"/>
      <c r="AA50" s="2"/>
      <c r="AB50" s="2"/>
    </row>
    <row r="51" spans="1:28" ht="15">
      <c r="A51" s="40">
        <f t="shared" si="2"/>
        <v>33</v>
      </c>
      <c r="B51" s="20" t="s">
        <v>601</v>
      </c>
      <c r="C51" s="20">
        <f t="shared" si="3"/>
        <v>350000</v>
      </c>
      <c r="D51" s="20">
        <f t="shared" si="0"/>
        <v>350000</v>
      </c>
      <c r="E51" s="20"/>
      <c r="F51" s="20"/>
      <c r="G51" s="20">
        <f t="shared" si="4"/>
        <v>350000</v>
      </c>
      <c r="H51" s="20"/>
      <c r="I51" s="20">
        <f t="shared" si="1"/>
        <v>0</v>
      </c>
      <c r="J51" s="20">
        <f t="shared" si="1"/>
        <v>0</v>
      </c>
      <c r="K51" s="20">
        <f t="shared" si="1"/>
        <v>350000</v>
      </c>
      <c r="L51" s="20">
        <f t="shared" si="1"/>
        <v>0</v>
      </c>
      <c r="M51" s="20"/>
      <c r="N51" s="20">
        <v>0</v>
      </c>
      <c r="O51" s="6">
        <v>0</v>
      </c>
      <c r="P51" s="20">
        <v>350000</v>
      </c>
      <c r="Q51" s="20">
        <v>0</v>
      </c>
      <c r="R51" s="20"/>
      <c r="S51" s="20">
        <v>0</v>
      </c>
      <c r="T51" s="20">
        <v>0</v>
      </c>
      <c r="U51" s="20">
        <v>350000</v>
      </c>
      <c r="V51" s="20">
        <v>0</v>
      </c>
      <c r="W51" s="2"/>
      <c r="X51" s="2"/>
      <c r="Y51" s="2"/>
      <c r="Z51" s="2"/>
      <c r="AA51" s="2"/>
      <c r="AB51" s="2"/>
    </row>
    <row r="52" spans="1:28" ht="15">
      <c r="A52" s="40">
        <f t="shared" si="2"/>
        <v>34</v>
      </c>
      <c r="B52" s="20" t="s">
        <v>602</v>
      </c>
      <c r="C52" s="20">
        <f t="shared" si="3"/>
        <v>1171648.04</v>
      </c>
      <c r="D52" s="20">
        <f t="shared" si="0"/>
        <v>772287.59</v>
      </c>
      <c r="E52" s="20"/>
      <c r="F52" s="20"/>
      <c r="G52" s="20">
        <f t="shared" si="4"/>
        <v>971968</v>
      </c>
      <c r="H52" s="20"/>
      <c r="I52" s="20">
        <f aca="true" t="shared" si="5" ref="I52:L86">(+N52+S52)/2</f>
        <v>0</v>
      </c>
      <c r="J52" s="20">
        <f t="shared" si="5"/>
        <v>0</v>
      </c>
      <c r="K52" s="20">
        <f t="shared" si="5"/>
        <v>971967.815</v>
      </c>
      <c r="L52" s="20">
        <f t="shared" si="5"/>
        <v>0</v>
      </c>
      <c r="M52" s="20"/>
      <c r="N52" s="20">
        <v>0</v>
      </c>
      <c r="O52" s="6">
        <v>0</v>
      </c>
      <c r="P52" s="20">
        <v>1171648.04</v>
      </c>
      <c r="Q52" s="20">
        <v>0</v>
      </c>
      <c r="R52" s="20"/>
      <c r="S52" s="20">
        <v>0</v>
      </c>
      <c r="T52" s="20">
        <v>0</v>
      </c>
      <c r="U52" s="20">
        <v>772287.59</v>
      </c>
      <c r="V52" s="20">
        <v>0</v>
      </c>
      <c r="W52" s="2"/>
      <c r="X52" s="2"/>
      <c r="Y52" s="2"/>
      <c r="Z52" s="2"/>
      <c r="AA52" s="2"/>
      <c r="AB52" s="2"/>
    </row>
    <row r="53" spans="1:28" ht="15">
      <c r="A53" s="40">
        <f t="shared" si="2"/>
        <v>35</v>
      </c>
      <c r="B53" s="20" t="s">
        <v>603</v>
      </c>
      <c r="C53" s="20">
        <f t="shared" si="3"/>
        <v>700000</v>
      </c>
      <c r="D53" s="20">
        <f t="shared" si="0"/>
        <v>700000</v>
      </c>
      <c r="E53" s="20"/>
      <c r="F53" s="20"/>
      <c r="G53" s="20">
        <f t="shared" si="4"/>
        <v>700000</v>
      </c>
      <c r="H53" s="20"/>
      <c r="I53" s="20">
        <f t="shared" si="5"/>
        <v>0</v>
      </c>
      <c r="J53" s="20">
        <f t="shared" si="5"/>
        <v>0</v>
      </c>
      <c r="K53" s="20">
        <f t="shared" si="5"/>
        <v>700000</v>
      </c>
      <c r="L53" s="20">
        <f t="shared" si="5"/>
        <v>0</v>
      </c>
      <c r="M53" s="20"/>
      <c r="N53" s="20">
        <v>0</v>
      </c>
      <c r="O53" s="6">
        <v>0</v>
      </c>
      <c r="P53" s="20">
        <v>700000</v>
      </c>
      <c r="Q53" s="20">
        <v>0</v>
      </c>
      <c r="R53" s="20"/>
      <c r="S53" s="20">
        <v>0</v>
      </c>
      <c r="T53" s="20">
        <v>0</v>
      </c>
      <c r="U53" s="20">
        <v>700000</v>
      </c>
      <c r="V53" s="20">
        <v>0</v>
      </c>
      <c r="W53" s="2"/>
      <c r="X53" s="2"/>
      <c r="Y53" s="2"/>
      <c r="Z53" s="2"/>
      <c r="AA53" s="2"/>
      <c r="AB53" s="2"/>
    </row>
    <row r="54" spans="1:28" ht="15">
      <c r="A54" s="40">
        <f t="shared" si="2"/>
        <v>36</v>
      </c>
      <c r="B54" s="20" t="s">
        <v>353</v>
      </c>
      <c r="C54" s="20">
        <f t="shared" si="3"/>
        <v>0</v>
      </c>
      <c r="D54" s="20">
        <f t="shared" si="0"/>
        <v>0</v>
      </c>
      <c r="E54" s="20"/>
      <c r="F54" s="20"/>
      <c r="G54" s="20">
        <f>ROUND(SUM(C54:F54)/2,0)</f>
        <v>0</v>
      </c>
      <c r="H54" s="20"/>
      <c r="I54" s="20">
        <f t="shared" si="5"/>
        <v>0</v>
      </c>
      <c r="J54" s="20">
        <f t="shared" si="5"/>
        <v>0</v>
      </c>
      <c r="K54" s="20">
        <f t="shared" si="5"/>
        <v>0</v>
      </c>
      <c r="L54" s="20">
        <f t="shared" si="5"/>
        <v>0</v>
      </c>
      <c r="M54" s="20"/>
      <c r="N54" s="20">
        <v>0</v>
      </c>
      <c r="O54" s="6">
        <v>0</v>
      </c>
      <c r="P54" s="20">
        <v>0</v>
      </c>
      <c r="Q54" s="20">
        <v>0</v>
      </c>
      <c r="R54" s="20"/>
      <c r="S54" s="20">
        <v>0</v>
      </c>
      <c r="T54" s="20">
        <v>0</v>
      </c>
      <c r="U54" s="20">
        <v>0</v>
      </c>
      <c r="V54" s="20">
        <v>0</v>
      </c>
      <c r="W54" s="2"/>
      <c r="X54" s="2"/>
      <c r="Y54" s="2"/>
      <c r="Z54" s="2"/>
      <c r="AA54" s="2"/>
      <c r="AB54" s="2"/>
    </row>
    <row r="55" spans="1:28" ht="15">
      <c r="A55" s="40">
        <f t="shared" si="2"/>
        <v>37</v>
      </c>
      <c r="B55" s="25" t="s">
        <v>429</v>
      </c>
      <c r="C55" s="20">
        <f t="shared" si="3"/>
        <v>1207560.4100000001</v>
      </c>
      <c r="D55" s="20">
        <f t="shared" si="0"/>
        <v>16461.03</v>
      </c>
      <c r="E55" s="20"/>
      <c r="F55" s="20"/>
      <c r="G55" s="20">
        <f>ROUND(SUM(C55:F55)/2,0)</f>
        <v>612011</v>
      </c>
      <c r="H55" s="20"/>
      <c r="I55" s="20">
        <f t="shared" si="5"/>
        <v>3406.175</v>
      </c>
      <c r="J55" s="20">
        <f t="shared" si="5"/>
        <v>95397.585</v>
      </c>
      <c r="K55" s="20">
        <f t="shared" si="5"/>
        <v>513206.96</v>
      </c>
      <c r="L55" s="20">
        <f t="shared" si="5"/>
        <v>0</v>
      </c>
      <c r="M55" s="20"/>
      <c r="N55" s="20">
        <v>6812.35</v>
      </c>
      <c r="O55" s="6">
        <v>188275.17</v>
      </c>
      <c r="P55" s="20">
        <v>1012472.89</v>
      </c>
      <c r="Q55" s="20">
        <v>0</v>
      </c>
      <c r="R55" s="20"/>
      <c r="S55" s="20">
        <v>0</v>
      </c>
      <c r="T55" s="20">
        <v>2520</v>
      </c>
      <c r="U55" s="20">
        <v>13941.03</v>
      </c>
      <c r="V55" s="20">
        <v>0</v>
      </c>
      <c r="W55" s="2"/>
      <c r="X55" s="2"/>
      <c r="Y55" s="2"/>
      <c r="Z55" s="2"/>
      <c r="AA55" s="2"/>
      <c r="AB55" s="2"/>
    </row>
    <row r="56" spans="1:28" ht="15">
      <c r="A56" s="40">
        <f t="shared" si="2"/>
        <v>38</v>
      </c>
      <c r="B56" s="25" t="s">
        <v>604</v>
      </c>
      <c r="C56" s="20">
        <f t="shared" si="3"/>
        <v>157854.29</v>
      </c>
      <c r="D56" s="20">
        <f t="shared" si="0"/>
        <v>0</v>
      </c>
      <c r="E56" s="20"/>
      <c r="F56" s="20"/>
      <c r="G56" s="20">
        <f t="shared" si="4"/>
        <v>78927</v>
      </c>
      <c r="H56" s="20"/>
      <c r="I56" s="20">
        <f t="shared" si="5"/>
        <v>0</v>
      </c>
      <c r="J56" s="20">
        <f t="shared" si="5"/>
        <v>0</v>
      </c>
      <c r="K56" s="20">
        <f t="shared" si="5"/>
        <v>0</v>
      </c>
      <c r="L56" s="20">
        <f t="shared" si="5"/>
        <v>78927.145</v>
      </c>
      <c r="M56" s="20"/>
      <c r="N56" s="20">
        <v>0</v>
      </c>
      <c r="O56" s="6">
        <v>0</v>
      </c>
      <c r="P56" s="20">
        <v>0</v>
      </c>
      <c r="Q56" s="20">
        <v>157854.29</v>
      </c>
      <c r="R56" s="20"/>
      <c r="S56" s="20">
        <v>0</v>
      </c>
      <c r="T56" s="20">
        <v>0</v>
      </c>
      <c r="U56" s="20">
        <v>0</v>
      </c>
      <c r="V56" s="20">
        <v>0</v>
      </c>
      <c r="W56" s="2"/>
      <c r="X56" s="2"/>
      <c r="Y56" s="2"/>
      <c r="Z56" s="2"/>
      <c r="AA56" s="2"/>
      <c r="AB56" s="2"/>
    </row>
    <row r="57" spans="1:28" ht="15">
      <c r="A57" s="40">
        <f t="shared" si="2"/>
        <v>39</v>
      </c>
      <c r="B57" s="20" t="s">
        <v>176</v>
      </c>
      <c r="C57" s="20">
        <f t="shared" si="3"/>
        <v>0</v>
      </c>
      <c r="D57" s="20">
        <f t="shared" si="0"/>
        <v>0</v>
      </c>
      <c r="E57" s="20"/>
      <c r="F57" s="20"/>
      <c r="G57" s="20">
        <f t="shared" si="4"/>
        <v>0</v>
      </c>
      <c r="H57" s="20"/>
      <c r="I57" s="20">
        <f t="shared" si="5"/>
        <v>0</v>
      </c>
      <c r="J57" s="20">
        <f t="shared" si="5"/>
        <v>0</v>
      </c>
      <c r="K57" s="20">
        <f t="shared" si="5"/>
        <v>0</v>
      </c>
      <c r="L57" s="20">
        <f t="shared" si="5"/>
        <v>0</v>
      </c>
      <c r="M57" s="20"/>
      <c r="N57" s="20">
        <f>-8090+8090</f>
        <v>0</v>
      </c>
      <c r="O57" s="6">
        <f>3025-3025</f>
        <v>0</v>
      </c>
      <c r="P57" s="20">
        <f>5442-5442</f>
        <v>0</v>
      </c>
      <c r="Q57" s="20">
        <v>0</v>
      </c>
      <c r="R57" s="20"/>
      <c r="S57" s="20">
        <v>0</v>
      </c>
      <c r="T57" s="6">
        <f>3025-3025</f>
        <v>0</v>
      </c>
      <c r="U57" s="20">
        <f>5442-5442</f>
        <v>0</v>
      </c>
      <c r="V57" s="20">
        <v>0</v>
      </c>
      <c r="W57" s="2"/>
      <c r="X57" s="2"/>
      <c r="Y57" s="2"/>
      <c r="Z57" s="2"/>
      <c r="AA57" s="2"/>
      <c r="AB57" s="2"/>
    </row>
    <row r="58" spans="1:28" ht="15">
      <c r="A58" s="40">
        <f t="shared" si="2"/>
        <v>40</v>
      </c>
      <c r="B58" s="25" t="s">
        <v>605</v>
      </c>
      <c r="C58" s="20">
        <f t="shared" si="3"/>
        <v>-277229.25</v>
      </c>
      <c r="D58" s="20">
        <f t="shared" si="0"/>
        <v>-194959.6999999999</v>
      </c>
      <c r="E58" s="20"/>
      <c r="F58" s="20"/>
      <c r="G58" s="20">
        <f t="shared" si="4"/>
        <v>-236094</v>
      </c>
      <c r="H58" s="20"/>
      <c r="I58" s="20">
        <f t="shared" si="5"/>
        <v>-135942.375</v>
      </c>
      <c r="J58" s="20">
        <f t="shared" si="5"/>
        <v>-41050.375</v>
      </c>
      <c r="K58" s="20">
        <f t="shared" si="5"/>
        <v>-59008.62499999994</v>
      </c>
      <c r="L58" s="20">
        <f t="shared" si="5"/>
        <v>-93.1</v>
      </c>
      <c r="M58" s="20"/>
      <c r="N58" s="20">
        <f>-1304297.75+1032413</f>
        <v>-271884.75</v>
      </c>
      <c r="O58" s="6">
        <f>-283495.45+244568</f>
        <v>-38927.45000000001</v>
      </c>
      <c r="P58" s="20">
        <f>-607736.85+641506</f>
        <v>33769.15000000002</v>
      </c>
      <c r="Q58" s="20">
        <v>-186.2</v>
      </c>
      <c r="R58" s="20"/>
      <c r="S58" s="20">
        <v>0</v>
      </c>
      <c r="T58" s="20">
        <f>-287741.3+244568</f>
        <v>-43173.29999999999</v>
      </c>
      <c r="U58" s="20">
        <f>-570732.4+641506+1032413-1254973</f>
        <v>-151786.3999999999</v>
      </c>
      <c r="V58" s="20">
        <v>0</v>
      </c>
      <c r="W58" s="2"/>
      <c r="X58" s="2"/>
      <c r="Y58" s="2"/>
      <c r="Z58" s="2"/>
      <c r="AA58" s="2"/>
      <c r="AB58" s="2"/>
    </row>
    <row r="59" spans="1:28" ht="15">
      <c r="A59" s="40">
        <f t="shared" si="2"/>
        <v>41</v>
      </c>
      <c r="B59" s="25" t="s">
        <v>606</v>
      </c>
      <c r="C59" s="20">
        <f t="shared" si="3"/>
        <v>-145313.75</v>
      </c>
      <c r="D59" s="20">
        <f t="shared" si="0"/>
        <v>-136764.05</v>
      </c>
      <c r="E59" s="20"/>
      <c r="F59" s="20"/>
      <c r="G59" s="20">
        <f t="shared" si="4"/>
        <v>-141039</v>
      </c>
      <c r="H59" s="20"/>
      <c r="I59" s="20">
        <f t="shared" si="5"/>
        <v>-49309.32500000001</v>
      </c>
      <c r="J59" s="20">
        <f t="shared" si="5"/>
        <v>779.4499999999825</v>
      </c>
      <c r="K59" s="20">
        <f t="shared" si="5"/>
        <v>-92509.02499999997</v>
      </c>
      <c r="L59" s="20">
        <f t="shared" si="5"/>
        <v>0</v>
      </c>
      <c r="M59" s="20"/>
      <c r="N59" s="20">
        <f>-761775.65+663157</f>
        <v>-98618.65000000002</v>
      </c>
      <c r="O59" s="6">
        <f>-278352.4+278792</f>
        <v>439.5999999999767</v>
      </c>
      <c r="P59" s="20">
        <f>627967-675101.7</f>
        <v>-47134.69999999995</v>
      </c>
      <c r="Q59" s="20">
        <v>0</v>
      </c>
      <c r="R59" s="20"/>
      <c r="S59" s="20">
        <v>0</v>
      </c>
      <c r="T59" s="20">
        <f>-277672.7+278792</f>
        <v>1119.2999999999884</v>
      </c>
      <c r="U59" s="20">
        <f>-669039.35+627967-759968+663157</f>
        <v>-137883.34999999998</v>
      </c>
      <c r="V59" s="20">
        <v>0</v>
      </c>
      <c r="W59" s="2"/>
      <c r="X59" s="2"/>
      <c r="Y59" s="2"/>
      <c r="Z59" s="2"/>
      <c r="AA59" s="2"/>
      <c r="AB59" s="2"/>
    </row>
    <row r="60" spans="1:28" ht="15">
      <c r="A60" s="40">
        <f t="shared" si="2"/>
        <v>42</v>
      </c>
      <c r="B60" s="20" t="s">
        <v>179</v>
      </c>
      <c r="C60" s="20">
        <f t="shared" si="3"/>
        <v>-1127224.6</v>
      </c>
      <c r="D60" s="20">
        <f t="shared" si="0"/>
        <v>-1127246</v>
      </c>
      <c r="E60" s="20"/>
      <c r="F60" s="20"/>
      <c r="G60" s="20">
        <f t="shared" si="4"/>
        <v>-1127235</v>
      </c>
      <c r="H60" s="20"/>
      <c r="I60" s="20">
        <f t="shared" si="5"/>
        <v>-563623</v>
      </c>
      <c r="J60" s="20">
        <f t="shared" si="5"/>
        <v>0</v>
      </c>
      <c r="K60" s="20">
        <f t="shared" si="5"/>
        <v>-563612.3</v>
      </c>
      <c r="L60" s="20">
        <f t="shared" si="5"/>
        <v>0</v>
      </c>
      <c r="M60" s="20"/>
      <c r="N60" s="20">
        <v>-1127246</v>
      </c>
      <c r="O60" s="6">
        <v>0</v>
      </c>
      <c r="P60" s="20">
        <v>21.4</v>
      </c>
      <c r="Q60" s="20">
        <v>0</v>
      </c>
      <c r="R60" s="20"/>
      <c r="S60" s="20">
        <v>0</v>
      </c>
      <c r="T60" s="20">
        <v>0</v>
      </c>
      <c r="U60" s="20">
        <v>-1127246</v>
      </c>
      <c r="V60" s="20">
        <v>0</v>
      </c>
      <c r="W60" s="2"/>
      <c r="X60" s="2"/>
      <c r="Y60" s="2"/>
      <c r="Z60" s="2"/>
      <c r="AA60" s="2"/>
      <c r="AB60" s="2"/>
    </row>
    <row r="61" spans="1:28" ht="15">
      <c r="A61" s="40">
        <f t="shared" si="2"/>
        <v>43</v>
      </c>
      <c r="B61" s="20" t="s">
        <v>181</v>
      </c>
      <c r="C61" s="20">
        <f t="shared" si="3"/>
        <v>0</v>
      </c>
      <c r="D61" s="20">
        <f t="shared" si="0"/>
        <v>0</v>
      </c>
      <c r="E61" s="20"/>
      <c r="F61" s="20"/>
      <c r="G61" s="20">
        <f t="shared" si="4"/>
        <v>0</v>
      </c>
      <c r="H61" s="20"/>
      <c r="I61" s="20">
        <f t="shared" si="5"/>
        <v>0</v>
      </c>
      <c r="J61" s="20">
        <f t="shared" si="5"/>
        <v>0</v>
      </c>
      <c r="K61" s="20">
        <f t="shared" si="5"/>
        <v>0</v>
      </c>
      <c r="L61" s="20">
        <f t="shared" si="5"/>
        <v>0</v>
      </c>
      <c r="M61" s="20"/>
      <c r="N61" s="20">
        <v>0</v>
      </c>
      <c r="O61" s="6">
        <v>0</v>
      </c>
      <c r="P61" s="20">
        <v>0</v>
      </c>
      <c r="Q61" s="20">
        <v>0</v>
      </c>
      <c r="R61" s="20"/>
      <c r="S61" s="20">
        <v>0</v>
      </c>
      <c r="T61" s="20">
        <v>0</v>
      </c>
      <c r="U61" s="20">
        <v>0</v>
      </c>
      <c r="V61" s="20">
        <v>0</v>
      </c>
      <c r="W61" s="2"/>
      <c r="X61" s="2"/>
      <c r="Y61" s="2"/>
      <c r="Z61" s="2"/>
      <c r="AA61" s="2"/>
      <c r="AB61" s="2"/>
    </row>
    <row r="62" spans="1:28" ht="15">
      <c r="A62" s="40">
        <f t="shared" si="2"/>
        <v>44</v>
      </c>
      <c r="B62" s="25" t="s">
        <v>607</v>
      </c>
      <c r="C62" s="20">
        <f t="shared" si="3"/>
        <v>31291.33</v>
      </c>
      <c r="D62" s="20">
        <f t="shared" si="0"/>
        <v>0</v>
      </c>
      <c r="E62" s="20"/>
      <c r="F62" s="20"/>
      <c r="G62" s="20">
        <f>ROUND(SUM(C62:F62)/2,0)</f>
        <v>15646</v>
      </c>
      <c r="H62" s="20"/>
      <c r="I62" s="20">
        <f t="shared" si="5"/>
        <v>0</v>
      </c>
      <c r="J62" s="20">
        <f t="shared" si="5"/>
        <v>0</v>
      </c>
      <c r="K62" s="20">
        <f t="shared" si="5"/>
        <v>15645.665</v>
      </c>
      <c r="L62" s="20">
        <f t="shared" si="5"/>
        <v>0</v>
      </c>
      <c r="M62" s="20"/>
      <c r="N62" s="20">
        <v>0</v>
      </c>
      <c r="O62" s="86">
        <v>0</v>
      </c>
      <c r="P62" s="20">
        <v>31291.33</v>
      </c>
      <c r="Q62" s="20">
        <v>0</v>
      </c>
      <c r="R62" s="20"/>
      <c r="S62" s="20">
        <v>0</v>
      </c>
      <c r="T62" s="20">
        <v>0</v>
      </c>
      <c r="U62" s="20">
        <v>0</v>
      </c>
      <c r="V62" s="20">
        <v>0</v>
      </c>
      <c r="W62" s="2"/>
      <c r="X62" s="2"/>
      <c r="Y62" s="2"/>
      <c r="Z62" s="2"/>
      <c r="AA62" s="2"/>
      <c r="AB62" s="2"/>
    </row>
    <row r="63" spans="1:28" ht="15">
      <c r="A63" s="40">
        <f t="shared" si="2"/>
        <v>45</v>
      </c>
      <c r="B63" s="25" t="s">
        <v>180</v>
      </c>
      <c r="C63" s="20">
        <f t="shared" si="3"/>
        <v>10784.32</v>
      </c>
      <c r="D63" s="20">
        <f t="shared" si="0"/>
        <v>0</v>
      </c>
      <c r="E63" s="20"/>
      <c r="F63" s="20"/>
      <c r="G63" s="20">
        <f t="shared" si="4"/>
        <v>5392</v>
      </c>
      <c r="H63" s="20"/>
      <c r="I63" s="20">
        <f t="shared" si="5"/>
        <v>5392.16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/>
      <c r="N63" s="20">
        <v>10784.32</v>
      </c>
      <c r="O63" s="86">
        <v>0</v>
      </c>
      <c r="P63" s="20">
        <v>0</v>
      </c>
      <c r="Q63" s="20">
        <v>0</v>
      </c>
      <c r="R63" s="20"/>
      <c r="S63" s="20">
        <v>0</v>
      </c>
      <c r="T63" s="20">
        <v>0</v>
      </c>
      <c r="U63" s="20">
        <v>0</v>
      </c>
      <c r="V63" s="20">
        <v>0</v>
      </c>
      <c r="W63" s="2"/>
      <c r="X63" s="2"/>
      <c r="Y63" s="2"/>
      <c r="Z63" s="2"/>
      <c r="AA63" s="2"/>
      <c r="AB63" s="2"/>
    </row>
    <row r="64" spans="1:28" ht="15">
      <c r="A64" s="40">
        <f t="shared" si="2"/>
        <v>46</v>
      </c>
      <c r="B64" s="25" t="s">
        <v>608</v>
      </c>
      <c r="C64" s="20">
        <f t="shared" si="3"/>
        <v>1887333</v>
      </c>
      <c r="D64" s="20">
        <f t="shared" si="0"/>
        <v>0</v>
      </c>
      <c r="E64" s="20"/>
      <c r="F64" s="20"/>
      <c r="G64" s="20">
        <f t="shared" si="4"/>
        <v>943667</v>
      </c>
      <c r="H64" s="20"/>
      <c r="I64" s="20">
        <f t="shared" si="5"/>
        <v>943666.5</v>
      </c>
      <c r="J64" s="20">
        <f t="shared" si="5"/>
        <v>0</v>
      </c>
      <c r="K64" s="20">
        <f t="shared" si="5"/>
        <v>0</v>
      </c>
      <c r="L64" s="20">
        <f t="shared" si="5"/>
        <v>0</v>
      </c>
      <c r="M64" s="20"/>
      <c r="N64" s="20">
        <v>1887333</v>
      </c>
      <c r="O64" s="86">
        <v>0</v>
      </c>
      <c r="P64" s="20">
        <v>0</v>
      </c>
      <c r="Q64" s="20">
        <v>0</v>
      </c>
      <c r="R64" s="20"/>
      <c r="S64" s="20">
        <v>0</v>
      </c>
      <c r="T64" s="20">
        <v>0</v>
      </c>
      <c r="U64" s="20">
        <v>0</v>
      </c>
      <c r="V64" s="20">
        <v>0</v>
      </c>
      <c r="W64" s="2"/>
      <c r="X64" s="2"/>
      <c r="Y64" s="2"/>
      <c r="Z64" s="2"/>
      <c r="AA64" s="2"/>
      <c r="AB64" s="2"/>
    </row>
    <row r="65" spans="1:28" ht="15">
      <c r="A65" s="40">
        <f t="shared" si="2"/>
        <v>47</v>
      </c>
      <c r="B65" s="25" t="s">
        <v>609</v>
      </c>
      <c r="C65" s="20">
        <f t="shared" si="3"/>
        <v>910006.0399999999</v>
      </c>
      <c r="D65" s="20">
        <f t="shared" si="0"/>
        <v>-11776.57</v>
      </c>
      <c r="E65" s="20"/>
      <c r="F65" s="20"/>
      <c r="G65" s="20">
        <f>ROUND(SUM(C65:F65)/2,0)</f>
        <v>449115</v>
      </c>
      <c r="H65" s="20"/>
      <c r="I65" s="20">
        <f t="shared" si="5"/>
        <v>460786.235</v>
      </c>
      <c r="J65" s="20">
        <f t="shared" si="5"/>
        <v>-11671.5</v>
      </c>
      <c r="K65" s="20">
        <f t="shared" si="5"/>
        <v>0</v>
      </c>
      <c r="L65" s="20">
        <f t="shared" si="5"/>
        <v>0</v>
      </c>
      <c r="M65" s="20"/>
      <c r="N65" s="20">
        <v>921572.47</v>
      </c>
      <c r="O65" s="6">
        <v>-11566.43</v>
      </c>
      <c r="P65" s="20">
        <v>0</v>
      </c>
      <c r="Q65" s="20">
        <v>0</v>
      </c>
      <c r="R65" s="20"/>
      <c r="S65" s="20">
        <v>0</v>
      </c>
      <c r="T65" s="20">
        <v>-11776.57</v>
      </c>
      <c r="U65" s="20">
        <v>0</v>
      </c>
      <c r="V65" s="20">
        <v>0</v>
      </c>
      <c r="W65" s="2"/>
      <c r="X65" s="2"/>
      <c r="Y65" s="2"/>
      <c r="Z65" s="2"/>
      <c r="AA65" s="2"/>
      <c r="AB65" s="2"/>
    </row>
    <row r="66" spans="1:28" ht="15">
      <c r="A66" s="40">
        <f t="shared" si="2"/>
        <v>48</v>
      </c>
      <c r="B66" s="41" t="s">
        <v>183</v>
      </c>
      <c r="C66" s="20">
        <f t="shared" si="3"/>
        <v>2425997.62</v>
      </c>
      <c r="D66" s="20">
        <f t="shared" si="0"/>
        <v>0</v>
      </c>
      <c r="E66" s="20"/>
      <c r="F66" s="20"/>
      <c r="G66" s="20">
        <f t="shared" si="4"/>
        <v>1212999</v>
      </c>
      <c r="H66" s="20"/>
      <c r="I66" s="20">
        <f t="shared" si="5"/>
        <v>1212998.81</v>
      </c>
      <c r="J66" s="20">
        <f t="shared" si="5"/>
        <v>0</v>
      </c>
      <c r="K66" s="20">
        <f t="shared" si="5"/>
        <v>0</v>
      </c>
      <c r="L66" s="20">
        <f t="shared" si="5"/>
        <v>0</v>
      </c>
      <c r="M66" s="20"/>
      <c r="N66" s="20">
        <v>2425997.62</v>
      </c>
      <c r="O66" s="6">
        <v>0</v>
      </c>
      <c r="P66" s="20">
        <v>0</v>
      </c>
      <c r="Q66" s="20">
        <v>0</v>
      </c>
      <c r="R66" s="20"/>
      <c r="S66" s="20">
        <v>0</v>
      </c>
      <c r="T66" s="20">
        <v>0</v>
      </c>
      <c r="U66" s="20">
        <v>0</v>
      </c>
      <c r="V66" s="20">
        <v>0</v>
      </c>
      <c r="W66" s="2"/>
      <c r="X66" s="2"/>
      <c r="Y66" s="2"/>
      <c r="Z66" s="2"/>
      <c r="AA66" s="2"/>
      <c r="AB66" s="2"/>
    </row>
    <row r="67" spans="1:28" ht="15">
      <c r="A67" s="40">
        <f t="shared" si="2"/>
        <v>49</v>
      </c>
      <c r="B67" s="25" t="s">
        <v>358</v>
      </c>
      <c r="C67" s="20">
        <f t="shared" si="3"/>
        <v>980246.24</v>
      </c>
      <c r="D67" s="20">
        <f t="shared" si="0"/>
        <v>0</v>
      </c>
      <c r="E67" s="20"/>
      <c r="F67" s="20"/>
      <c r="G67" s="20">
        <f t="shared" si="4"/>
        <v>490123</v>
      </c>
      <c r="H67" s="20"/>
      <c r="I67" s="20">
        <f t="shared" si="5"/>
        <v>490123.12</v>
      </c>
      <c r="J67" s="20">
        <f t="shared" si="5"/>
        <v>0</v>
      </c>
      <c r="K67" s="20">
        <f t="shared" si="5"/>
        <v>0</v>
      </c>
      <c r="L67" s="20">
        <f t="shared" si="5"/>
        <v>0</v>
      </c>
      <c r="M67" s="20"/>
      <c r="N67" s="20">
        <v>980246.24</v>
      </c>
      <c r="O67" s="6">
        <v>0</v>
      </c>
      <c r="P67" s="20">
        <v>0</v>
      </c>
      <c r="Q67" s="20">
        <v>0</v>
      </c>
      <c r="R67" s="20"/>
      <c r="S67" s="20">
        <v>0</v>
      </c>
      <c r="T67" s="20">
        <v>0</v>
      </c>
      <c r="U67" s="20">
        <v>0</v>
      </c>
      <c r="V67" s="20">
        <v>0</v>
      </c>
      <c r="W67" s="2"/>
      <c r="X67" s="2"/>
      <c r="Y67" s="2"/>
      <c r="Z67" s="2"/>
      <c r="AA67" s="2"/>
      <c r="AB67" s="2"/>
    </row>
    <row r="68" spans="1:28" ht="15">
      <c r="A68" s="40">
        <f t="shared" si="2"/>
        <v>50</v>
      </c>
      <c r="B68" s="25" t="s">
        <v>610</v>
      </c>
      <c r="C68" s="20">
        <f t="shared" si="3"/>
        <v>-3936459.1</v>
      </c>
      <c r="D68" s="20">
        <f t="shared" si="0"/>
        <v>0</v>
      </c>
      <c r="E68" s="20"/>
      <c r="F68" s="20"/>
      <c r="G68" s="20">
        <f>ROUND(SUM(C68:F68)/2,0)</f>
        <v>-1968230</v>
      </c>
      <c r="H68" s="20"/>
      <c r="I68" s="20">
        <f t="shared" si="5"/>
        <v>-1968229.55</v>
      </c>
      <c r="J68" s="20">
        <f t="shared" si="5"/>
        <v>0</v>
      </c>
      <c r="K68" s="20">
        <f t="shared" si="5"/>
        <v>0</v>
      </c>
      <c r="L68" s="20">
        <f t="shared" si="5"/>
        <v>0</v>
      </c>
      <c r="M68" s="20"/>
      <c r="N68" s="20">
        <v>-3936459.1</v>
      </c>
      <c r="O68" s="6">
        <v>0</v>
      </c>
      <c r="P68" s="20">
        <v>0</v>
      </c>
      <c r="Q68" s="20">
        <v>0</v>
      </c>
      <c r="R68" s="20"/>
      <c r="S68" s="20">
        <v>0</v>
      </c>
      <c r="T68" s="20">
        <v>0</v>
      </c>
      <c r="U68" s="20">
        <v>0</v>
      </c>
      <c r="V68" s="20">
        <v>0</v>
      </c>
      <c r="W68" s="2"/>
      <c r="X68" s="2"/>
      <c r="Y68" s="2"/>
      <c r="Z68" s="2"/>
      <c r="AA68" s="2"/>
      <c r="AB68" s="2"/>
    </row>
    <row r="69" spans="1:28" ht="15">
      <c r="A69" s="40">
        <f t="shared" si="2"/>
        <v>51</v>
      </c>
      <c r="B69" s="25" t="s">
        <v>433</v>
      </c>
      <c r="C69" s="20">
        <f t="shared" si="3"/>
        <v>-21639823.8</v>
      </c>
      <c r="D69" s="20">
        <f t="shared" si="0"/>
        <v>-22277618.65</v>
      </c>
      <c r="E69" s="20"/>
      <c r="F69" s="20"/>
      <c r="G69" s="20">
        <f>ROUND(SUM(C69:F69)/2,0)</f>
        <v>-21958721</v>
      </c>
      <c r="H69" s="20"/>
      <c r="I69" s="20">
        <f t="shared" si="5"/>
        <v>0</v>
      </c>
      <c r="J69" s="20">
        <f t="shared" si="5"/>
        <v>0</v>
      </c>
      <c r="K69" s="20">
        <f t="shared" si="5"/>
        <v>-21958721.225</v>
      </c>
      <c r="L69" s="20">
        <f t="shared" si="5"/>
        <v>0</v>
      </c>
      <c r="M69" s="20"/>
      <c r="N69" s="20">
        <v>0</v>
      </c>
      <c r="O69" s="6">
        <v>0</v>
      </c>
      <c r="P69" s="20">
        <v>-21639823.8</v>
      </c>
      <c r="Q69" s="20">
        <v>0</v>
      </c>
      <c r="R69" s="20"/>
      <c r="S69" s="20">
        <v>0</v>
      </c>
      <c r="T69" s="20">
        <v>0</v>
      </c>
      <c r="U69" s="20">
        <v>-22277618.65</v>
      </c>
      <c r="V69" s="20">
        <v>0</v>
      </c>
      <c r="W69" s="2"/>
      <c r="X69" s="2"/>
      <c r="Y69" s="2"/>
      <c r="Z69" s="2"/>
      <c r="AA69" s="2"/>
      <c r="AB69" s="2"/>
    </row>
    <row r="70" spans="1:28" ht="15">
      <c r="A70" s="40">
        <f t="shared" si="2"/>
        <v>52</v>
      </c>
      <c r="B70" s="25" t="s">
        <v>611</v>
      </c>
      <c r="C70" s="20">
        <f t="shared" si="3"/>
        <v>5652627.13</v>
      </c>
      <c r="D70" s="20">
        <f t="shared" si="0"/>
        <v>6427364.08</v>
      </c>
      <c r="E70" s="20"/>
      <c r="F70" s="20"/>
      <c r="G70" s="20">
        <f t="shared" si="4"/>
        <v>6039996</v>
      </c>
      <c r="H70" s="20"/>
      <c r="I70" s="20">
        <f t="shared" si="5"/>
        <v>0</v>
      </c>
      <c r="J70" s="20">
        <f t="shared" si="5"/>
        <v>0</v>
      </c>
      <c r="K70" s="20">
        <f t="shared" si="5"/>
        <v>6039995.605</v>
      </c>
      <c r="L70" s="20">
        <f t="shared" si="5"/>
        <v>0</v>
      </c>
      <c r="M70" s="20"/>
      <c r="N70" s="20">
        <v>0</v>
      </c>
      <c r="O70" s="6">
        <v>0</v>
      </c>
      <c r="P70" s="20">
        <f>8118047.13-2465420</f>
        <v>5652627.13</v>
      </c>
      <c r="Q70" s="20">
        <v>0</v>
      </c>
      <c r="R70" s="20"/>
      <c r="S70" s="20">
        <v>0</v>
      </c>
      <c r="T70" s="20">
        <v>0</v>
      </c>
      <c r="U70" s="20">
        <f>8892784.08-2465420</f>
        <v>6427364.08</v>
      </c>
      <c r="V70" s="20">
        <v>0</v>
      </c>
      <c r="W70" s="2"/>
      <c r="X70" s="2"/>
      <c r="Y70" s="2"/>
      <c r="Z70" s="2"/>
      <c r="AA70" s="2"/>
      <c r="AB70" s="2"/>
    </row>
    <row r="71" spans="1:28" ht="15">
      <c r="A71" s="40">
        <f t="shared" si="2"/>
        <v>53</v>
      </c>
      <c r="B71" s="25" t="s">
        <v>612</v>
      </c>
      <c r="C71" s="20">
        <f t="shared" si="3"/>
        <v>0</v>
      </c>
      <c r="D71" s="20">
        <f t="shared" si="0"/>
        <v>0</v>
      </c>
      <c r="E71" s="20"/>
      <c r="F71" s="20"/>
      <c r="G71" s="20">
        <f t="shared" si="4"/>
        <v>0</v>
      </c>
      <c r="H71" s="20"/>
      <c r="I71" s="20">
        <f t="shared" si="5"/>
        <v>0</v>
      </c>
      <c r="J71" s="20">
        <f t="shared" si="5"/>
        <v>0</v>
      </c>
      <c r="K71" s="20">
        <f t="shared" si="5"/>
        <v>0</v>
      </c>
      <c r="L71" s="20">
        <f t="shared" si="5"/>
        <v>0</v>
      </c>
      <c r="M71" s="20"/>
      <c r="N71" s="20">
        <v>0</v>
      </c>
      <c r="O71" s="6">
        <v>0</v>
      </c>
      <c r="P71" s="20">
        <v>0</v>
      </c>
      <c r="Q71" s="20">
        <v>0</v>
      </c>
      <c r="R71" s="20"/>
      <c r="S71" s="20">
        <v>0</v>
      </c>
      <c r="T71" s="20">
        <v>0</v>
      </c>
      <c r="U71" s="20">
        <v>0</v>
      </c>
      <c r="V71" s="20">
        <v>0</v>
      </c>
      <c r="W71" s="2"/>
      <c r="X71" s="2"/>
      <c r="Y71" s="2"/>
      <c r="Z71" s="2"/>
      <c r="AA71" s="2"/>
      <c r="AB71" s="2"/>
    </row>
    <row r="72" spans="1:28" ht="15">
      <c r="A72" s="40">
        <f t="shared" si="2"/>
        <v>54</v>
      </c>
      <c r="B72" s="25" t="s">
        <v>187</v>
      </c>
      <c r="C72" s="20">
        <f>SUM(N72:Q72)</f>
        <v>426258.12</v>
      </c>
      <c r="D72" s="20">
        <f>SUM(S72:V72)</f>
        <v>384308.04</v>
      </c>
      <c r="E72" s="20"/>
      <c r="F72" s="20"/>
      <c r="G72" s="20">
        <f>ROUND(SUM(C72:F72)/2,0)</f>
        <v>405283</v>
      </c>
      <c r="H72" s="20"/>
      <c r="I72" s="20">
        <f>(+N72+S72)/2</f>
        <v>0</v>
      </c>
      <c r="J72" s="20">
        <f>(+O72+T72)/2</f>
        <v>405283.07999999996</v>
      </c>
      <c r="K72" s="20">
        <f>(+P72+U72)/2</f>
        <v>0</v>
      </c>
      <c r="L72" s="20">
        <f>(+Q72+V72)/2</f>
        <v>0</v>
      </c>
      <c r="M72" s="20"/>
      <c r="N72" s="20">
        <v>0</v>
      </c>
      <c r="O72" s="6">
        <v>426258.12</v>
      </c>
      <c r="P72" s="20">
        <v>0</v>
      </c>
      <c r="Q72" s="20">
        <v>0</v>
      </c>
      <c r="R72" s="20"/>
      <c r="S72" s="20">
        <v>0</v>
      </c>
      <c r="T72" s="20">
        <v>384308.04</v>
      </c>
      <c r="U72" s="20">
        <v>0</v>
      </c>
      <c r="V72" s="20">
        <v>0</v>
      </c>
      <c r="W72" s="2"/>
      <c r="X72" s="2"/>
      <c r="Y72" s="2"/>
      <c r="Z72" s="2"/>
      <c r="AA72" s="2"/>
      <c r="AB72" s="2"/>
    </row>
    <row r="73" spans="1:28" ht="15">
      <c r="A73" s="40">
        <f t="shared" si="2"/>
        <v>55</v>
      </c>
      <c r="B73" s="20" t="s">
        <v>613</v>
      </c>
      <c r="C73" s="20">
        <f t="shared" si="3"/>
        <v>1659505.45</v>
      </c>
      <c r="D73" s="20">
        <f t="shared" si="0"/>
        <v>0</v>
      </c>
      <c r="E73" s="20"/>
      <c r="F73" s="20"/>
      <c r="G73" s="20">
        <f aca="true" t="shared" si="6" ref="G73:G107">ROUND(SUM(C73:F73)/2,0)</f>
        <v>829753</v>
      </c>
      <c r="H73" s="20"/>
      <c r="I73" s="20">
        <f t="shared" si="5"/>
        <v>829752.725</v>
      </c>
      <c r="J73" s="20">
        <f t="shared" si="5"/>
        <v>0</v>
      </c>
      <c r="K73" s="20">
        <f t="shared" si="5"/>
        <v>0</v>
      </c>
      <c r="L73" s="20">
        <f t="shared" si="5"/>
        <v>0</v>
      </c>
      <c r="M73" s="20"/>
      <c r="N73" s="20">
        <v>1659505.45</v>
      </c>
      <c r="O73" s="6">
        <v>0</v>
      </c>
      <c r="P73" s="20">
        <v>0</v>
      </c>
      <c r="Q73" s="20">
        <v>0</v>
      </c>
      <c r="R73" s="20"/>
      <c r="S73" s="20">
        <v>0</v>
      </c>
      <c r="T73" s="20">
        <v>0</v>
      </c>
      <c r="U73" s="20">
        <v>0</v>
      </c>
      <c r="V73" s="20">
        <v>0</v>
      </c>
      <c r="W73" s="2"/>
      <c r="X73" s="2"/>
      <c r="Y73" s="2"/>
      <c r="Z73" s="2"/>
      <c r="AA73" s="2"/>
      <c r="AB73" s="2"/>
    </row>
    <row r="74" spans="1:28" ht="15">
      <c r="A74" s="40">
        <f t="shared" si="2"/>
        <v>56</v>
      </c>
      <c r="B74" s="25" t="s">
        <v>614</v>
      </c>
      <c r="C74" s="20">
        <f t="shared" si="3"/>
        <v>-1000782.8</v>
      </c>
      <c r="D74" s="20">
        <f t="shared" si="0"/>
        <v>0</v>
      </c>
      <c r="E74" s="20"/>
      <c r="F74" s="20"/>
      <c r="G74" s="20">
        <f t="shared" si="6"/>
        <v>-500391</v>
      </c>
      <c r="H74" s="20"/>
      <c r="I74" s="20">
        <f t="shared" si="5"/>
        <v>-500391.4</v>
      </c>
      <c r="J74" s="20">
        <f t="shared" si="5"/>
        <v>0</v>
      </c>
      <c r="K74" s="20">
        <f t="shared" si="5"/>
        <v>0</v>
      </c>
      <c r="L74" s="20">
        <f t="shared" si="5"/>
        <v>0</v>
      </c>
      <c r="M74" s="20"/>
      <c r="N74" s="20">
        <v>-1000782.8</v>
      </c>
      <c r="O74" s="6">
        <v>0</v>
      </c>
      <c r="P74" s="20">
        <v>0</v>
      </c>
      <c r="Q74" s="20">
        <v>0</v>
      </c>
      <c r="R74" s="20"/>
      <c r="S74" s="20">
        <v>0</v>
      </c>
      <c r="T74" s="20">
        <v>0</v>
      </c>
      <c r="U74" s="20">
        <v>0</v>
      </c>
      <c r="V74" s="20">
        <v>0</v>
      </c>
      <c r="W74" s="2"/>
      <c r="X74" s="2"/>
      <c r="Y74" s="2"/>
      <c r="Z74" s="2"/>
      <c r="AA74" s="2"/>
      <c r="AB74" s="2"/>
    </row>
    <row r="75" spans="1:28" ht="15">
      <c r="A75" s="40">
        <f t="shared" si="2"/>
        <v>57</v>
      </c>
      <c r="B75" s="25" t="s">
        <v>434</v>
      </c>
      <c r="C75" s="20">
        <f t="shared" si="3"/>
        <v>-283352.7</v>
      </c>
      <c r="D75" s="20">
        <f t="shared" si="0"/>
        <v>1022022.33</v>
      </c>
      <c r="E75" s="20"/>
      <c r="F75" s="20"/>
      <c r="G75" s="20">
        <f t="shared" si="6"/>
        <v>369335</v>
      </c>
      <c r="H75" s="20"/>
      <c r="I75" s="20">
        <f t="shared" si="5"/>
        <v>0</v>
      </c>
      <c r="J75" s="20">
        <f t="shared" si="5"/>
        <v>369334.81499999994</v>
      </c>
      <c r="K75" s="20">
        <f t="shared" si="5"/>
        <v>0</v>
      </c>
      <c r="L75" s="20">
        <f t="shared" si="5"/>
        <v>0</v>
      </c>
      <c r="M75" s="20"/>
      <c r="N75" s="20">
        <v>0</v>
      </c>
      <c r="O75" s="6">
        <v>-283352.7</v>
      </c>
      <c r="P75" s="20">
        <v>0</v>
      </c>
      <c r="Q75" s="20">
        <v>0</v>
      </c>
      <c r="R75" s="20"/>
      <c r="S75" s="20">
        <v>0</v>
      </c>
      <c r="T75" s="20">
        <v>1022022.33</v>
      </c>
      <c r="U75" s="20">
        <v>0</v>
      </c>
      <c r="V75" s="20">
        <v>0</v>
      </c>
      <c r="W75" s="2"/>
      <c r="X75" s="2"/>
      <c r="Y75" s="2"/>
      <c r="Z75" s="2"/>
      <c r="AA75" s="2"/>
      <c r="AB75" s="2"/>
    </row>
    <row r="76" spans="1:28" ht="15">
      <c r="A76" s="40">
        <f t="shared" si="2"/>
        <v>58</v>
      </c>
      <c r="B76" s="25" t="s">
        <v>615</v>
      </c>
      <c r="C76" s="20">
        <f t="shared" si="3"/>
        <v>0</v>
      </c>
      <c r="D76" s="20">
        <f t="shared" si="0"/>
        <v>0</v>
      </c>
      <c r="E76" s="20"/>
      <c r="F76" s="20"/>
      <c r="G76" s="20">
        <f t="shared" si="6"/>
        <v>0</v>
      </c>
      <c r="H76" s="20"/>
      <c r="I76" s="20">
        <f t="shared" si="5"/>
        <v>0</v>
      </c>
      <c r="J76" s="20">
        <f t="shared" si="5"/>
        <v>0</v>
      </c>
      <c r="K76" s="20">
        <f t="shared" si="5"/>
        <v>0</v>
      </c>
      <c r="L76" s="20">
        <f t="shared" si="5"/>
        <v>0</v>
      </c>
      <c r="M76" s="20"/>
      <c r="N76" s="20">
        <v>0</v>
      </c>
      <c r="O76" s="6">
        <v>0</v>
      </c>
      <c r="P76" s="20">
        <v>0</v>
      </c>
      <c r="Q76" s="20">
        <v>0</v>
      </c>
      <c r="R76" s="20"/>
      <c r="S76" s="20">
        <v>0</v>
      </c>
      <c r="T76" s="20">
        <v>0</v>
      </c>
      <c r="U76" s="20">
        <v>0</v>
      </c>
      <c r="V76" s="20">
        <v>0</v>
      </c>
      <c r="W76" s="2"/>
      <c r="X76" s="2"/>
      <c r="Y76" s="2"/>
      <c r="Z76" s="2"/>
      <c r="AA76" s="2"/>
      <c r="AB76" s="2"/>
    </row>
    <row r="77" spans="1:28" ht="15">
      <c r="A77" s="40">
        <f t="shared" si="2"/>
        <v>59</v>
      </c>
      <c r="B77" s="25" t="s">
        <v>529</v>
      </c>
      <c r="C77" s="20">
        <f t="shared" si="3"/>
        <v>-206869</v>
      </c>
      <c r="D77" s="20">
        <f t="shared" si="0"/>
        <v>0</v>
      </c>
      <c r="E77" s="20"/>
      <c r="F77" s="20"/>
      <c r="G77" s="20">
        <f t="shared" si="6"/>
        <v>-103435</v>
      </c>
      <c r="H77" s="20"/>
      <c r="I77" s="20">
        <f t="shared" si="5"/>
        <v>-103434.5</v>
      </c>
      <c r="J77" s="20">
        <f t="shared" si="5"/>
        <v>0</v>
      </c>
      <c r="K77" s="20">
        <f t="shared" si="5"/>
        <v>0</v>
      </c>
      <c r="L77" s="20">
        <f t="shared" si="5"/>
        <v>0</v>
      </c>
      <c r="M77" s="20"/>
      <c r="N77" s="20">
        <v>-206869</v>
      </c>
      <c r="O77" s="6">
        <v>0</v>
      </c>
      <c r="P77" s="20">
        <v>0</v>
      </c>
      <c r="Q77" s="20">
        <v>0</v>
      </c>
      <c r="R77" s="20"/>
      <c r="S77" s="20">
        <v>0</v>
      </c>
      <c r="T77" s="20">
        <v>0</v>
      </c>
      <c r="U77" s="20">
        <v>0</v>
      </c>
      <c r="V77" s="20">
        <v>0</v>
      </c>
      <c r="W77" s="2"/>
      <c r="X77" s="2"/>
      <c r="Y77" s="2"/>
      <c r="Z77" s="2"/>
      <c r="AA77" s="2"/>
      <c r="AB77" s="2"/>
    </row>
    <row r="78" spans="1:28" ht="15">
      <c r="A78" s="40">
        <f t="shared" si="2"/>
        <v>60</v>
      </c>
      <c r="B78" s="20" t="s">
        <v>195</v>
      </c>
      <c r="C78" s="20">
        <f t="shared" si="3"/>
        <v>395729.9</v>
      </c>
      <c r="D78" s="20">
        <f t="shared" si="0"/>
        <v>404019.94</v>
      </c>
      <c r="E78" s="20"/>
      <c r="F78" s="20"/>
      <c r="G78" s="20">
        <f t="shared" si="6"/>
        <v>399875</v>
      </c>
      <c r="H78" s="20"/>
      <c r="I78" s="20">
        <f t="shared" si="5"/>
        <v>0</v>
      </c>
      <c r="J78" s="20">
        <f t="shared" si="5"/>
        <v>0</v>
      </c>
      <c r="K78" s="20">
        <f t="shared" si="5"/>
        <v>399874.92000000004</v>
      </c>
      <c r="L78" s="20">
        <f t="shared" si="5"/>
        <v>0</v>
      </c>
      <c r="M78" s="20"/>
      <c r="N78" s="20">
        <v>0</v>
      </c>
      <c r="O78" s="6">
        <v>0</v>
      </c>
      <c r="P78" s="20">
        <v>395729.9</v>
      </c>
      <c r="Q78" s="20">
        <v>0</v>
      </c>
      <c r="R78" s="20"/>
      <c r="S78" s="20">
        <v>0</v>
      </c>
      <c r="T78" s="20">
        <v>0</v>
      </c>
      <c r="U78" s="20">
        <v>404019.94</v>
      </c>
      <c r="V78" s="20">
        <v>0</v>
      </c>
      <c r="W78" s="2"/>
      <c r="X78" s="2"/>
      <c r="Y78" s="2"/>
      <c r="Z78" s="2"/>
      <c r="AA78" s="2"/>
      <c r="AB78" s="2"/>
    </row>
    <row r="79" spans="1:28" ht="15">
      <c r="A79" s="40">
        <f t="shared" si="2"/>
        <v>61</v>
      </c>
      <c r="B79" s="20" t="s">
        <v>719</v>
      </c>
      <c r="C79" s="20">
        <f>SUM(N79:Q79)</f>
        <v>0</v>
      </c>
      <c r="D79" s="20">
        <f>SUM(S79:V79)</f>
        <v>40749724.63</v>
      </c>
      <c r="E79" s="20"/>
      <c r="F79" s="20"/>
      <c r="G79" s="20">
        <f>ROUND(SUM(C79:F79)/2,0)</f>
        <v>20374862</v>
      </c>
      <c r="H79" s="20"/>
      <c r="I79" s="20">
        <f>(+N79+S79)/2</f>
        <v>0</v>
      </c>
      <c r="J79" s="20">
        <f>(+O79+T79)/2</f>
        <v>0</v>
      </c>
      <c r="K79" s="20">
        <f>(+P79+U79)/2</f>
        <v>20374862.315</v>
      </c>
      <c r="L79" s="20">
        <f>(+Q79+V79)/2</f>
        <v>0</v>
      </c>
      <c r="M79" s="20"/>
      <c r="N79" s="20">
        <v>0</v>
      </c>
      <c r="O79" s="6">
        <v>0</v>
      </c>
      <c r="P79" s="20">
        <v>0</v>
      </c>
      <c r="Q79" s="20">
        <v>0</v>
      </c>
      <c r="R79" s="20"/>
      <c r="S79" s="20">
        <v>0</v>
      </c>
      <c r="T79" s="20">
        <v>0</v>
      </c>
      <c r="U79" s="20">
        <v>40749724.63</v>
      </c>
      <c r="V79" s="20">
        <v>0</v>
      </c>
      <c r="W79" s="2"/>
      <c r="X79" s="2"/>
      <c r="Y79" s="2"/>
      <c r="Z79" s="2"/>
      <c r="AA79" s="2"/>
      <c r="AB79" s="2"/>
    </row>
    <row r="80" spans="1:28" ht="15">
      <c r="A80" s="40">
        <f t="shared" si="2"/>
        <v>62</v>
      </c>
      <c r="B80" s="20" t="s">
        <v>616</v>
      </c>
      <c r="C80" s="20">
        <f t="shared" si="3"/>
        <v>0</v>
      </c>
      <c r="D80" s="20">
        <f t="shared" si="0"/>
        <v>0</v>
      </c>
      <c r="E80" s="20"/>
      <c r="F80" s="20"/>
      <c r="G80" s="20">
        <f t="shared" si="6"/>
        <v>0</v>
      </c>
      <c r="H80" s="20"/>
      <c r="I80" s="20">
        <f t="shared" si="5"/>
        <v>0</v>
      </c>
      <c r="J80" s="20">
        <f t="shared" si="5"/>
        <v>0</v>
      </c>
      <c r="K80" s="20">
        <f t="shared" si="5"/>
        <v>0</v>
      </c>
      <c r="L80" s="20">
        <f t="shared" si="5"/>
        <v>0</v>
      </c>
      <c r="M80" s="20"/>
      <c r="N80" s="20">
        <v>0</v>
      </c>
      <c r="O80" s="6">
        <v>0</v>
      </c>
      <c r="P80" s="20">
        <v>0</v>
      </c>
      <c r="Q80" s="20">
        <v>0</v>
      </c>
      <c r="R80" s="20"/>
      <c r="S80" s="20">
        <v>0</v>
      </c>
      <c r="T80" s="20">
        <v>0</v>
      </c>
      <c r="U80" s="20">
        <v>0</v>
      </c>
      <c r="V80" s="20">
        <v>0</v>
      </c>
      <c r="W80" s="2"/>
      <c r="X80" s="2"/>
      <c r="Y80" s="2"/>
      <c r="Z80" s="2"/>
      <c r="AA80" s="2"/>
      <c r="AB80" s="2"/>
    </row>
    <row r="81" spans="1:28" ht="15">
      <c r="A81" s="40">
        <f t="shared" si="2"/>
        <v>63</v>
      </c>
      <c r="B81" s="25" t="s">
        <v>187</v>
      </c>
      <c r="C81" s="20">
        <f t="shared" si="3"/>
        <v>0</v>
      </c>
      <c r="D81" s="20">
        <f aca="true" t="shared" si="7" ref="D81:D115">SUM(S81:V81)</f>
        <v>0</v>
      </c>
      <c r="E81" s="20"/>
      <c r="F81" s="20"/>
      <c r="G81" s="20">
        <f t="shared" si="6"/>
        <v>0</v>
      </c>
      <c r="H81" s="20"/>
      <c r="I81" s="20">
        <f t="shared" si="5"/>
        <v>0</v>
      </c>
      <c r="J81" s="20">
        <f t="shared" si="5"/>
        <v>0</v>
      </c>
      <c r="K81" s="20">
        <f t="shared" si="5"/>
        <v>0</v>
      </c>
      <c r="L81" s="20">
        <f t="shared" si="5"/>
        <v>0</v>
      </c>
      <c r="M81" s="20"/>
      <c r="N81" s="20">
        <v>0</v>
      </c>
      <c r="O81" s="6">
        <v>0</v>
      </c>
      <c r="P81" s="20">
        <v>0</v>
      </c>
      <c r="Q81" s="20">
        <v>0</v>
      </c>
      <c r="R81" s="20"/>
      <c r="S81" s="20">
        <v>0</v>
      </c>
      <c r="T81" s="20">
        <v>0</v>
      </c>
      <c r="U81" s="20">
        <v>0</v>
      </c>
      <c r="V81" s="20">
        <v>0</v>
      </c>
      <c r="W81" s="2"/>
      <c r="X81" s="2"/>
      <c r="Y81" s="2"/>
      <c r="Z81" s="2"/>
      <c r="AA81" s="2"/>
      <c r="AB81" s="2"/>
    </row>
    <row r="82" spans="1:28" ht="15">
      <c r="A82" s="40">
        <f aca="true" t="shared" si="8" ref="A82:A125">+A81+1</f>
        <v>64</v>
      </c>
      <c r="B82" s="25" t="s">
        <v>617</v>
      </c>
      <c r="C82" s="20">
        <f>SUM(N82:Q82)</f>
        <v>13504.67</v>
      </c>
      <c r="D82" s="20">
        <f>SUM(S82:V82)</f>
        <v>25700.48</v>
      </c>
      <c r="E82" s="20"/>
      <c r="F82" s="20"/>
      <c r="G82" s="20">
        <f>ROUND(SUM(C82:F82)/2,0)</f>
        <v>19603</v>
      </c>
      <c r="H82" s="20"/>
      <c r="I82" s="20">
        <f>(+N82+S82)/2</f>
        <v>0</v>
      </c>
      <c r="J82" s="20">
        <f>(+O82+T82)/2</f>
        <v>0</v>
      </c>
      <c r="K82" s="20">
        <f>(+P82+U82)/2</f>
        <v>19602.575</v>
      </c>
      <c r="L82" s="20">
        <f>(+Q82+V82)/2</f>
        <v>0</v>
      </c>
      <c r="M82" s="20"/>
      <c r="N82" s="20">
        <v>0</v>
      </c>
      <c r="O82" s="6">
        <v>0</v>
      </c>
      <c r="P82" s="20">
        <v>13504.67</v>
      </c>
      <c r="Q82" s="20">
        <v>0</v>
      </c>
      <c r="R82" s="20"/>
      <c r="S82" s="20">
        <v>0</v>
      </c>
      <c r="T82" s="20">
        <v>0</v>
      </c>
      <c r="U82" s="20">
        <v>25700.48</v>
      </c>
      <c r="V82" s="20">
        <v>0</v>
      </c>
      <c r="W82" s="2"/>
      <c r="X82" s="2"/>
      <c r="Y82" s="2"/>
      <c r="Z82" s="2"/>
      <c r="AA82" s="2"/>
      <c r="AB82" s="2"/>
    </row>
    <row r="83" spans="1:28" ht="15">
      <c r="A83" s="40">
        <f t="shared" si="8"/>
        <v>65</v>
      </c>
      <c r="B83" s="25" t="s">
        <v>618</v>
      </c>
      <c r="C83" s="20">
        <f aca="true" t="shared" si="9" ref="C83:C117">SUM(N83:Q83)</f>
        <v>0</v>
      </c>
      <c r="D83" s="20">
        <f t="shared" si="7"/>
        <v>0</v>
      </c>
      <c r="E83" s="20"/>
      <c r="F83" s="20"/>
      <c r="G83" s="20">
        <f t="shared" si="6"/>
        <v>0</v>
      </c>
      <c r="H83" s="20"/>
      <c r="I83" s="20">
        <f t="shared" si="5"/>
        <v>0</v>
      </c>
      <c r="J83" s="20">
        <f t="shared" si="5"/>
        <v>0</v>
      </c>
      <c r="K83" s="20">
        <f t="shared" si="5"/>
        <v>0</v>
      </c>
      <c r="L83" s="20">
        <f t="shared" si="5"/>
        <v>0</v>
      </c>
      <c r="M83" s="20"/>
      <c r="N83" s="20">
        <v>0</v>
      </c>
      <c r="O83" s="6">
        <v>0</v>
      </c>
      <c r="P83" s="20">
        <v>0</v>
      </c>
      <c r="Q83" s="20">
        <v>0</v>
      </c>
      <c r="R83" s="20"/>
      <c r="S83" s="20">
        <v>0</v>
      </c>
      <c r="T83" s="20">
        <v>0</v>
      </c>
      <c r="U83" s="20">
        <v>0</v>
      </c>
      <c r="V83" s="20">
        <v>0</v>
      </c>
      <c r="W83" s="2"/>
      <c r="X83" s="2"/>
      <c r="Y83" s="2"/>
      <c r="Z83" s="2"/>
      <c r="AA83" s="2"/>
      <c r="AB83" s="2"/>
    </row>
    <row r="84" spans="1:28" ht="15">
      <c r="A84" s="40">
        <f t="shared" si="8"/>
        <v>66</v>
      </c>
      <c r="B84" s="25" t="s">
        <v>619</v>
      </c>
      <c r="C84" s="20">
        <f t="shared" si="9"/>
        <v>643269.4</v>
      </c>
      <c r="D84" s="20">
        <f t="shared" si="7"/>
        <v>0</v>
      </c>
      <c r="E84" s="20"/>
      <c r="F84" s="20"/>
      <c r="G84" s="20">
        <f t="shared" si="6"/>
        <v>321635</v>
      </c>
      <c r="H84" s="20"/>
      <c r="I84" s="20">
        <f t="shared" si="5"/>
        <v>321634.7</v>
      </c>
      <c r="J84" s="20">
        <f t="shared" si="5"/>
        <v>0</v>
      </c>
      <c r="K84" s="20">
        <f t="shared" si="5"/>
        <v>0</v>
      </c>
      <c r="L84" s="20">
        <f t="shared" si="5"/>
        <v>0</v>
      </c>
      <c r="M84" s="20"/>
      <c r="N84" s="20">
        <v>643269.4</v>
      </c>
      <c r="O84" s="86">
        <v>0</v>
      </c>
      <c r="P84" s="20">
        <v>0</v>
      </c>
      <c r="Q84" s="20">
        <v>0</v>
      </c>
      <c r="R84" s="20"/>
      <c r="S84" s="20">
        <v>0</v>
      </c>
      <c r="T84" s="20">
        <v>0</v>
      </c>
      <c r="U84" s="20">
        <v>0</v>
      </c>
      <c r="V84" s="20">
        <v>0</v>
      </c>
      <c r="W84" s="2"/>
      <c r="X84" s="2"/>
      <c r="Y84" s="2"/>
      <c r="Z84" s="2"/>
      <c r="AA84" s="2"/>
      <c r="AB84" s="2"/>
    </row>
    <row r="85" spans="1:28" ht="15">
      <c r="A85" s="40">
        <f t="shared" si="8"/>
        <v>67</v>
      </c>
      <c r="B85" s="25" t="s">
        <v>620</v>
      </c>
      <c r="C85" s="20">
        <f t="shared" si="9"/>
        <v>3216346.98</v>
      </c>
      <c r="D85" s="20">
        <f t="shared" si="7"/>
        <v>0</v>
      </c>
      <c r="E85" s="20"/>
      <c r="F85" s="20"/>
      <c r="G85" s="20">
        <f t="shared" si="6"/>
        <v>1608173</v>
      </c>
      <c r="H85" s="20"/>
      <c r="I85" s="20">
        <f t="shared" si="5"/>
        <v>1608173.49</v>
      </c>
      <c r="J85" s="20">
        <f t="shared" si="5"/>
        <v>0</v>
      </c>
      <c r="K85" s="20">
        <f t="shared" si="5"/>
        <v>0</v>
      </c>
      <c r="L85" s="20">
        <f t="shared" si="5"/>
        <v>0</v>
      </c>
      <c r="M85" s="20"/>
      <c r="N85" s="20">
        <v>3216346.98</v>
      </c>
      <c r="O85" s="86">
        <v>0</v>
      </c>
      <c r="P85" s="20">
        <v>0</v>
      </c>
      <c r="Q85" s="20">
        <v>0</v>
      </c>
      <c r="R85" s="20"/>
      <c r="S85" s="20">
        <v>0</v>
      </c>
      <c r="T85" s="20">
        <v>0</v>
      </c>
      <c r="U85" s="20">
        <v>0</v>
      </c>
      <c r="V85" s="20">
        <v>0</v>
      </c>
      <c r="W85" s="2"/>
      <c r="X85" s="2"/>
      <c r="Y85" s="2"/>
      <c r="Z85" s="2"/>
      <c r="AA85" s="2"/>
      <c r="AB85" s="2"/>
    </row>
    <row r="86" spans="1:28" ht="15">
      <c r="A86" s="40">
        <f t="shared" si="8"/>
        <v>68</v>
      </c>
      <c r="B86" s="25" t="s">
        <v>621</v>
      </c>
      <c r="C86" s="20">
        <f t="shared" si="9"/>
        <v>0</v>
      </c>
      <c r="D86" s="20">
        <f t="shared" si="7"/>
        <v>0</v>
      </c>
      <c r="E86" s="20"/>
      <c r="F86" s="20"/>
      <c r="G86" s="20">
        <f t="shared" si="6"/>
        <v>0</v>
      </c>
      <c r="H86" s="20"/>
      <c r="I86" s="20">
        <f t="shared" si="5"/>
        <v>0</v>
      </c>
      <c r="J86" s="20">
        <f t="shared" si="5"/>
        <v>0</v>
      </c>
      <c r="K86" s="20">
        <f t="shared" si="5"/>
        <v>0</v>
      </c>
      <c r="L86" s="20">
        <f t="shared" si="5"/>
        <v>0</v>
      </c>
      <c r="M86" s="20"/>
      <c r="N86" s="20">
        <v>0</v>
      </c>
      <c r="O86" s="86">
        <v>0</v>
      </c>
      <c r="P86" s="20">
        <v>0</v>
      </c>
      <c r="Q86" s="20">
        <v>0</v>
      </c>
      <c r="R86" s="20"/>
      <c r="S86" s="20">
        <v>0</v>
      </c>
      <c r="T86" s="20">
        <v>0</v>
      </c>
      <c r="U86" s="20">
        <v>0</v>
      </c>
      <c r="V86" s="20">
        <v>0</v>
      </c>
      <c r="W86" s="2"/>
      <c r="X86" s="2"/>
      <c r="Y86" s="2"/>
      <c r="Z86" s="2"/>
      <c r="AA86" s="2"/>
      <c r="AB86" s="2"/>
    </row>
    <row r="87" spans="1:28" ht="15">
      <c r="A87" s="40">
        <f t="shared" si="8"/>
        <v>69</v>
      </c>
      <c r="B87" s="25" t="s">
        <v>622</v>
      </c>
      <c r="C87" s="20">
        <f t="shared" si="9"/>
        <v>2938853.56</v>
      </c>
      <c r="D87" s="20">
        <f t="shared" si="7"/>
        <v>2279671.45</v>
      </c>
      <c r="E87" s="20"/>
      <c r="F87" s="20"/>
      <c r="G87" s="20">
        <f t="shared" si="6"/>
        <v>2609263</v>
      </c>
      <c r="H87" s="20"/>
      <c r="I87" s="20">
        <f aca="true" t="shared" si="10" ref="I87:L115">(+N87+S87)/2</f>
        <v>0</v>
      </c>
      <c r="J87" s="20">
        <f t="shared" si="10"/>
        <v>0</v>
      </c>
      <c r="K87" s="20">
        <f t="shared" si="10"/>
        <v>2609262.505</v>
      </c>
      <c r="L87" s="20">
        <f t="shared" si="10"/>
        <v>0</v>
      </c>
      <c r="M87" s="20"/>
      <c r="N87" s="20">
        <v>0</v>
      </c>
      <c r="O87" s="86">
        <v>0</v>
      </c>
      <c r="P87" s="20">
        <v>2938853.56</v>
      </c>
      <c r="Q87" s="20">
        <v>0</v>
      </c>
      <c r="R87" s="20"/>
      <c r="S87" s="20">
        <v>0</v>
      </c>
      <c r="T87" s="20">
        <v>0</v>
      </c>
      <c r="U87" s="20">
        <v>2279671.45</v>
      </c>
      <c r="V87" s="20">
        <v>0</v>
      </c>
      <c r="W87" s="2"/>
      <c r="X87" s="2"/>
      <c r="Y87" s="2"/>
      <c r="Z87" s="2"/>
      <c r="AA87" s="2"/>
      <c r="AB87" s="2"/>
    </row>
    <row r="88" spans="1:28" ht="15">
      <c r="A88" s="40">
        <f t="shared" si="8"/>
        <v>70</v>
      </c>
      <c r="B88" s="20" t="s">
        <v>199</v>
      </c>
      <c r="C88" s="20">
        <f t="shared" si="9"/>
        <v>9600.69</v>
      </c>
      <c r="D88" s="20">
        <f t="shared" si="7"/>
        <v>40700.37</v>
      </c>
      <c r="E88" s="20"/>
      <c r="F88" s="20"/>
      <c r="G88" s="20">
        <f t="shared" si="6"/>
        <v>25151</v>
      </c>
      <c r="H88" s="20"/>
      <c r="I88" s="20">
        <f t="shared" si="10"/>
        <v>-752.025</v>
      </c>
      <c r="J88" s="20">
        <f t="shared" si="10"/>
        <v>42.67</v>
      </c>
      <c r="K88" s="20">
        <f t="shared" si="10"/>
        <v>25859.885000000002</v>
      </c>
      <c r="L88" s="20">
        <f t="shared" si="10"/>
        <v>0</v>
      </c>
      <c r="M88" s="20"/>
      <c r="N88" s="20">
        <v>-1504.05</v>
      </c>
      <c r="O88" s="6">
        <v>2.98</v>
      </c>
      <c r="P88" s="20">
        <v>11101.76</v>
      </c>
      <c r="Q88" s="20">
        <v>0</v>
      </c>
      <c r="R88" s="20"/>
      <c r="S88" s="20">
        <v>0</v>
      </c>
      <c r="T88" s="20">
        <v>82.36</v>
      </c>
      <c r="U88" s="20">
        <v>40618.01</v>
      </c>
      <c r="V88" s="20">
        <v>0</v>
      </c>
      <c r="W88" s="2"/>
      <c r="X88" s="2"/>
      <c r="Y88" s="2"/>
      <c r="Z88" s="2"/>
      <c r="AA88" s="2"/>
      <c r="AB88" s="2"/>
    </row>
    <row r="89" spans="1:28" ht="15">
      <c r="A89" s="40">
        <f t="shared" si="8"/>
        <v>71</v>
      </c>
      <c r="B89" s="20" t="s">
        <v>365</v>
      </c>
      <c r="C89" s="20">
        <f t="shared" si="9"/>
        <v>193.70000000000002</v>
      </c>
      <c r="D89" s="20">
        <f t="shared" si="7"/>
        <v>-78.05</v>
      </c>
      <c r="E89" s="20"/>
      <c r="F89" s="20"/>
      <c r="G89" s="20">
        <f t="shared" si="6"/>
        <v>58</v>
      </c>
      <c r="H89" s="20"/>
      <c r="I89" s="20">
        <f t="shared" si="10"/>
        <v>0</v>
      </c>
      <c r="J89" s="20">
        <f t="shared" si="10"/>
        <v>-87.675</v>
      </c>
      <c r="K89" s="20">
        <f t="shared" si="10"/>
        <v>145.5</v>
      </c>
      <c r="L89" s="20">
        <f t="shared" si="10"/>
        <v>0</v>
      </c>
      <c r="M89" s="20"/>
      <c r="N89" s="20">
        <v>0</v>
      </c>
      <c r="O89" s="6">
        <v>-80.85</v>
      </c>
      <c r="P89" s="20">
        <v>274.55</v>
      </c>
      <c r="Q89" s="20">
        <v>0</v>
      </c>
      <c r="R89" s="20"/>
      <c r="S89" s="20">
        <v>0</v>
      </c>
      <c r="T89" s="20">
        <v>-94.5</v>
      </c>
      <c r="U89" s="20">
        <v>16.45</v>
      </c>
      <c r="V89" s="20">
        <v>0</v>
      </c>
      <c r="W89" s="2"/>
      <c r="X89" s="2"/>
      <c r="Y89" s="2"/>
      <c r="Z89" s="2"/>
      <c r="AA89" s="2"/>
      <c r="AB89" s="2"/>
    </row>
    <row r="90" spans="1:28" ht="15">
      <c r="A90" s="40">
        <f t="shared" si="8"/>
        <v>72</v>
      </c>
      <c r="B90" s="25" t="s">
        <v>623</v>
      </c>
      <c r="C90" s="20">
        <f t="shared" si="9"/>
        <v>-3577795</v>
      </c>
      <c r="D90" s="20">
        <f t="shared" si="7"/>
        <v>0</v>
      </c>
      <c r="E90" s="20"/>
      <c r="F90" s="20"/>
      <c r="G90" s="20">
        <f t="shared" si="6"/>
        <v>-1788898</v>
      </c>
      <c r="H90" s="20"/>
      <c r="I90" s="20">
        <f t="shared" si="10"/>
        <v>-1788897.5</v>
      </c>
      <c r="J90" s="20">
        <f t="shared" si="10"/>
        <v>0</v>
      </c>
      <c r="K90" s="20">
        <f t="shared" si="10"/>
        <v>0</v>
      </c>
      <c r="L90" s="20">
        <f t="shared" si="10"/>
        <v>0</v>
      </c>
      <c r="M90" s="20"/>
      <c r="N90" s="20">
        <v>-3577795</v>
      </c>
      <c r="O90" s="6">
        <v>0</v>
      </c>
      <c r="P90" s="20">
        <v>0</v>
      </c>
      <c r="Q90" s="20">
        <v>0</v>
      </c>
      <c r="R90" s="20"/>
      <c r="S90" s="20">
        <v>0</v>
      </c>
      <c r="T90" s="20">
        <v>0</v>
      </c>
      <c r="U90" s="20">
        <v>0</v>
      </c>
      <c r="V90" s="20">
        <v>0</v>
      </c>
      <c r="W90" s="2"/>
      <c r="X90" s="2"/>
      <c r="Y90" s="2"/>
      <c r="Z90" s="2"/>
      <c r="AA90" s="2"/>
      <c r="AB90" s="2"/>
    </row>
    <row r="91" spans="1:28" ht="15">
      <c r="A91" s="40">
        <f t="shared" si="8"/>
        <v>73</v>
      </c>
      <c r="B91" s="20" t="s">
        <v>201</v>
      </c>
      <c r="C91" s="20">
        <f t="shared" si="9"/>
        <v>21963735.34</v>
      </c>
      <c r="D91" s="20">
        <f t="shared" si="7"/>
        <v>-4231452.69</v>
      </c>
      <c r="E91" s="20"/>
      <c r="F91" s="20"/>
      <c r="G91" s="20">
        <f t="shared" si="6"/>
        <v>8866141</v>
      </c>
      <c r="H91" s="20"/>
      <c r="I91" s="20">
        <f t="shared" si="10"/>
        <v>5916051.485</v>
      </c>
      <c r="J91" s="20">
        <f t="shared" si="10"/>
        <v>-397600.605</v>
      </c>
      <c r="K91" s="20">
        <f t="shared" si="10"/>
        <v>696053.4499999997</v>
      </c>
      <c r="L91" s="20">
        <f t="shared" si="10"/>
        <v>2651636.995</v>
      </c>
      <c r="M91" s="20"/>
      <c r="N91" s="20">
        <v>11832102.97</v>
      </c>
      <c r="O91" s="6">
        <v>200823.11</v>
      </c>
      <c r="P91" s="20">
        <v>4627535.27</v>
      </c>
      <c r="Q91" s="20">
        <v>5303273.99</v>
      </c>
      <c r="R91" s="20"/>
      <c r="S91" s="20">
        <v>0</v>
      </c>
      <c r="T91" s="20">
        <v>-996024.32</v>
      </c>
      <c r="U91" s="20">
        <v>-3235428.37</v>
      </c>
      <c r="V91" s="20">
        <v>0</v>
      </c>
      <c r="W91" s="2"/>
      <c r="X91" s="2"/>
      <c r="Y91" s="2"/>
      <c r="Z91" s="2"/>
      <c r="AA91" s="2"/>
      <c r="AB91" s="2"/>
    </row>
    <row r="92" spans="1:28" ht="15">
      <c r="A92" s="40">
        <f t="shared" si="8"/>
        <v>74</v>
      </c>
      <c r="B92" s="25" t="s">
        <v>624</v>
      </c>
      <c r="C92" s="20">
        <f t="shared" si="9"/>
        <v>6913855.65</v>
      </c>
      <c r="D92" s="20">
        <f t="shared" si="7"/>
        <v>-13823555.29</v>
      </c>
      <c r="E92" s="20"/>
      <c r="F92" s="20"/>
      <c r="G92" s="20">
        <f t="shared" si="6"/>
        <v>-3454850</v>
      </c>
      <c r="H92" s="20"/>
      <c r="I92" s="20">
        <f t="shared" si="10"/>
        <v>0</v>
      </c>
      <c r="J92" s="20">
        <f t="shared" si="10"/>
        <v>-444965.07</v>
      </c>
      <c r="K92" s="20">
        <f t="shared" si="10"/>
        <v>-3009884.75</v>
      </c>
      <c r="L92" s="20">
        <f t="shared" si="10"/>
        <v>0</v>
      </c>
      <c r="M92" s="20"/>
      <c r="N92" s="20">
        <v>0</v>
      </c>
      <c r="O92" s="6">
        <v>954323.15</v>
      </c>
      <c r="P92" s="20">
        <v>5959532.5</v>
      </c>
      <c r="Q92" s="20">
        <v>0</v>
      </c>
      <c r="R92" s="20"/>
      <c r="S92" s="20">
        <v>0</v>
      </c>
      <c r="T92" s="20">
        <v>-1844253.29</v>
      </c>
      <c r="U92" s="20">
        <v>-11979302</v>
      </c>
      <c r="V92" s="20">
        <v>0</v>
      </c>
      <c r="W92" s="2"/>
      <c r="X92" s="2"/>
      <c r="Y92" s="2"/>
      <c r="Z92" s="2"/>
      <c r="AA92" s="2"/>
      <c r="AB92" s="2"/>
    </row>
    <row r="93" spans="1:28" ht="15">
      <c r="A93" s="40">
        <f t="shared" si="8"/>
        <v>75</v>
      </c>
      <c r="B93" s="20" t="s">
        <v>204</v>
      </c>
      <c r="C93" s="20">
        <f t="shared" si="9"/>
        <v>5854945.26</v>
      </c>
      <c r="D93" s="20">
        <f t="shared" si="7"/>
        <v>2169133.42</v>
      </c>
      <c r="E93" s="20"/>
      <c r="F93" s="20"/>
      <c r="G93" s="20">
        <f t="shared" si="6"/>
        <v>4012039</v>
      </c>
      <c r="H93" s="20"/>
      <c r="I93" s="20">
        <f t="shared" si="10"/>
        <v>1587366.965</v>
      </c>
      <c r="J93" s="20">
        <f t="shared" si="10"/>
        <v>346868.53</v>
      </c>
      <c r="K93" s="20">
        <f t="shared" si="10"/>
        <v>2077803.845</v>
      </c>
      <c r="L93" s="20">
        <f t="shared" si="10"/>
        <v>0</v>
      </c>
      <c r="M93" s="20"/>
      <c r="N93" s="20">
        <v>3174733.93</v>
      </c>
      <c r="O93" s="6">
        <v>365706.06</v>
      </c>
      <c r="P93" s="20">
        <v>2314505.27</v>
      </c>
      <c r="Q93" s="20">
        <v>0</v>
      </c>
      <c r="R93" s="20"/>
      <c r="S93" s="20">
        <v>0</v>
      </c>
      <c r="T93" s="20">
        <v>328031</v>
      </c>
      <c r="U93" s="20">
        <v>1841102.42</v>
      </c>
      <c r="V93" s="20">
        <v>0</v>
      </c>
      <c r="W93" s="2"/>
      <c r="X93" s="2"/>
      <c r="Y93" s="2"/>
      <c r="Z93" s="2"/>
      <c r="AA93" s="2"/>
      <c r="AB93" s="2"/>
    </row>
    <row r="94" spans="1:28" ht="15">
      <c r="A94" s="40">
        <f t="shared" si="8"/>
        <v>76</v>
      </c>
      <c r="B94" s="25" t="s">
        <v>437</v>
      </c>
      <c r="C94" s="20">
        <f t="shared" si="9"/>
        <v>92579028.05</v>
      </c>
      <c r="D94" s="20">
        <f t="shared" si="7"/>
        <v>273972.45</v>
      </c>
      <c r="E94" s="20"/>
      <c r="F94" s="20"/>
      <c r="G94" s="20">
        <f t="shared" si="6"/>
        <v>46426500</v>
      </c>
      <c r="H94" s="20"/>
      <c r="I94" s="20">
        <f t="shared" si="10"/>
        <v>46185775.25</v>
      </c>
      <c r="J94" s="20">
        <f t="shared" si="10"/>
        <v>8830.075</v>
      </c>
      <c r="K94" s="20">
        <f t="shared" si="10"/>
        <v>231894.925</v>
      </c>
      <c r="L94" s="20">
        <f t="shared" si="10"/>
        <v>0</v>
      </c>
      <c r="M94" s="20"/>
      <c r="N94" s="20">
        <v>92371550.5</v>
      </c>
      <c r="O94" s="6">
        <v>8557.13</v>
      </c>
      <c r="P94" s="20">
        <v>198920.42</v>
      </c>
      <c r="Q94" s="20">
        <v>0</v>
      </c>
      <c r="R94" s="20"/>
      <c r="S94" s="20">
        <v>0</v>
      </c>
      <c r="T94" s="20">
        <v>9103.02</v>
      </c>
      <c r="U94" s="20">
        <v>264869.43</v>
      </c>
      <c r="V94" s="20">
        <v>0</v>
      </c>
      <c r="W94" s="2"/>
      <c r="X94" s="2"/>
      <c r="Y94" s="2"/>
      <c r="Z94" s="2"/>
      <c r="AA94" s="2"/>
      <c r="AB94" s="2"/>
    </row>
    <row r="95" spans="1:28" ht="15">
      <c r="A95" s="40">
        <f t="shared" si="8"/>
        <v>77</v>
      </c>
      <c r="B95" s="25" t="s">
        <v>625</v>
      </c>
      <c r="C95" s="20">
        <f t="shared" si="9"/>
        <v>-7152280.35</v>
      </c>
      <c r="D95" s="20">
        <f t="shared" si="7"/>
        <v>0</v>
      </c>
      <c r="E95" s="20"/>
      <c r="F95" s="20"/>
      <c r="G95" s="20">
        <f t="shared" si="6"/>
        <v>-3576140</v>
      </c>
      <c r="H95" s="20"/>
      <c r="I95" s="20">
        <f t="shared" si="10"/>
        <v>-3346570.485</v>
      </c>
      <c r="J95" s="20">
        <f t="shared" si="10"/>
        <v>0</v>
      </c>
      <c r="K95" s="20">
        <f t="shared" si="10"/>
        <v>0</v>
      </c>
      <c r="L95" s="20">
        <f t="shared" si="10"/>
        <v>-229569.69</v>
      </c>
      <c r="M95" s="20"/>
      <c r="N95" s="20">
        <v>-6693140.97</v>
      </c>
      <c r="O95" s="86">
        <v>0</v>
      </c>
      <c r="P95" s="20">
        <v>0</v>
      </c>
      <c r="Q95" s="20">
        <v>-459139.38</v>
      </c>
      <c r="R95" s="20"/>
      <c r="S95" s="20">
        <v>0</v>
      </c>
      <c r="T95" s="20">
        <v>0</v>
      </c>
      <c r="U95" s="20">
        <v>0</v>
      </c>
      <c r="V95" s="20">
        <v>0</v>
      </c>
      <c r="W95" s="2"/>
      <c r="X95" s="2"/>
      <c r="Y95" s="2"/>
      <c r="Z95" s="2"/>
      <c r="AA95" s="2"/>
      <c r="AB95" s="2"/>
    </row>
    <row r="96" spans="1:28" ht="15">
      <c r="A96" s="40">
        <f t="shared" si="8"/>
        <v>78</v>
      </c>
      <c r="B96" s="25" t="s">
        <v>626</v>
      </c>
      <c r="C96" s="20">
        <f t="shared" si="9"/>
        <v>2291770.95</v>
      </c>
      <c r="D96" s="20">
        <f t="shared" si="7"/>
        <v>0</v>
      </c>
      <c r="E96" s="20"/>
      <c r="F96" s="20"/>
      <c r="G96" s="20">
        <f t="shared" si="6"/>
        <v>1145885</v>
      </c>
      <c r="H96" s="20"/>
      <c r="I96" s="20">
        <f t="shared" si="10"/>
        <v>1145885.475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/>
      <c r="N96" s="20">
        <v>2291770.95</v>
      </c>
      <c r="O96" s="86">
        <v>0</v>
      </c>
      <c r="P96" s="20">
        <v>0</v>
      </c>
      <c r="Q96" s="20">
        <v>0</v>
      </c>
      <c r="R96" s="20"/>
      <c r="S96" s="20">
        <v>0</v>
      </c>
      <c r="T96" s="20">
        <v>0</v>
      </c>
      <c r="U96" s="20">
        <v>0</v>
      </c>
      <c r="V96" s="20">
        <v>0</v>
      </c>
      <c r="W96" s="2"/>
      <c r="X96" s="2"/>
      <c r="Y96" s="2"/>
      <c r="Z96" s="2"/>
      <c r="AA96" s="2"/>
      <c r="AB96" s="2"/>
    </row>
    <row r="97" spans="1:28" ht="15">
      <c r="A97" s="40">
        <f t="shared" si="8"/>
        <v>79</v>
      </c>
      <c r="B97" s="25" t="s">
        <v>627</v>
      </c>
      <c r="C97" s="20">
        <f>SUM(N97:Q97)</f>
        <v>0</v>
      </c>
      <c r="D97" s="20">
        <f>SUM(S97:V97)</f>
        <v>0</v>
      </c>
      <c r="E97" s="20"/>
      <c r="F97" s="20"/>
      <c r="G97" s="20">
        <f>ROUND(SUM(C97:F97)/2,0)</f>
        <v>0</v>
      </c>
      <c r="H97" s="20"/>
      <c r="I97" s="20">
        <f>(+N97+S97)/2</f>
        <v>0</v>
      </c>
      <c r="J97" s="20">
        <f>(+O97+T97)/2</f>
        <v>0</v>
      </c>
      <c r="K97" s="20">
        <f>(+P97+U97)/2</f>
        <v>0</v>
      </c>
      <c r="L97" s="20">
        <f>(+Q97+V97)/2</f>
        <v>0</v>
      </c>
      <c r="M97" s="20"/>
      <c r="N97" s="20">
        <v>0</v>
      </c>
      <c r="O97" s="86">
        <v>0</v>
      </c>
      <c r="P97" s="20">
        <v>0</v>
      </c>
      <c r="Q97" s="20">
        <v>0</v>
      </c>
      <c r="R97" s="20"/>
      <c r="S97" s="20">
        <v>0</v>
      </c>
      <c r="T97" s="20">
        <v>0</v>
      </c>
      <c r="U97" s="20">
        <v>0</v>
      </c>
      <c r="V97" s="20">
        <v>0</v>
      </c>
      <c r="W97" s="2"/>
      <c r="X97" s="2"/>
      <c r="Y97" s="2"/>
      <c r="Z97" s="2"/>
      <c r="AA97" s="2"/>
      <c r="AB97" s="2"/>
    </row>
    <row r="98" spans="1:28" ht="15">
      <c r="A98" s="40">
        <f t="shared" si="8"/>
        <v>80</v>
      </c>
      <c r="B98" s="25" t="s">
        <v>628</v>
      </c>
      <c r="C98" s="20">
        <f t="shared" si="9"/>
        <v>20807.47</v>
      </c>
      <c r="D98" s="20">
        <f t="shared" si="7"/>
        <v>37481.73</v>
      </c>
      <c r="E98" s="20"/>
      <c r="F98" s="20"/>
      <c r="G98" s="20">
        <f t="shared" si="6"/>
        <v>29145</v>
      </c>
      <c r="H98" s="20"/>
      <c r="I98" s="20">
        <f t="shared" si="10"/>
        <v>0</v>
      </c>
      <c r="J98" s="20">
        <f t="shared" si="10"/>
        <v>0</v>
      </c>
      <c r="K98" s="20">
        <f t="shared" si="10"/>
        <v>29144.600000000002</v>
      </c>
      <c r="L98" s="20">
        <f t="shared" si="10"/>
        <v>0</v>
      </c>
      <c r="M98" s="20"/>
      <c r="N98" s="20">
        <v>0</v>
      </c>
      <c r="O98" s="86">
        <v>0</v>
      </c>
      <c r="P98" s="20">
        <v>20807.47</v>
      </c>
      <c r="Q98" s="20">
        <v>0</v>
      </c>
      <c r="R98" s="20"/>
      <c r="S98" s="20">
        <v>0</v>
      </c>
      <c r="T98" s="20">
        <v>0</v>
      </c>
      <c r="U98" s="20">
        <v>37481.73</v>
      </c>
      <c r="V98" s="20">
        <v>0</v>
      </c>
      <c r="W98" s="2"/>
      <c r="X98" s="2"/>
      <c r="Y98" s="2"/>
      <c r="Z98" s="2"/>
      <c r="AA98" s="2"/>
      <c r="AB98" s="2"/>
    </row>
    <row r="99" spans="1:28" ht="15">
      <c r="A99" s="40">
        <f t="shared" si="8"/>
        <v>81</v>
      </c>
      <c r="B99" s="25" t="s">
        <v>210</v>
      </c>
      <c r="C99" s="20">
        <f t="shared" si="9"/>
        <v>-41248.19000000018</v>
      </c>
      <c r="D99" s="20">
        <f t="shared" si="7"/>
        <v>-41227</v>
      </c>
      <c r="E99" s="20"/>
      <c r="F99" s="20"/>
      <c r="G99" s="20">
        <f t="shared" si="6"/>
        <v>-41238</v>
      </c>
      <c r="H99" s="20"/>
      <c r="I99" s="20">
        <f t="shared" si="10"/>
        <v>-20613.420000000042</v>
      </c>
      <c r="J99" s="20">
        <f t="shared" si="10"/>
        <v>0</v>
      </c>
      <c r="K99" s="20">
        <f t="shared" si="10"/>
        <v>-20624.175000000047</v>
      </c>
      <c r="L99" s="20">
        <f t="shared" si="10"/>
        <v>0</v>
      </c>
      <c r="M99" s="20"/>
      <c r="N99" s="20">
        <f>-1374996.84+1333770</f>
        <v>-41226.840000000084</v>
      </c>
      <c r="O99" s="86">
        <f>-244055+244055</f>
        <v>0</v>
      </c>
      <c r="P99" s="20">
        <f>-1248821.35+1248800</f>
        <v>-21.350000000093132</v>
      </c>
      <c r="Q99" s="20">
        <v>0</v>
      </c>
      <c r="R99" s="20"/>
      <c r="S99" s="20">
        <v>0</v>
      </c>
      <c r="T99" s="20">
        <f>-244055+244055</f>
        <v>0</v>
      </c>
      <c r="U99" s="20">
        <f>-1374997+1333770</f>
        <v>-41227</v>
      </c>
      <c r="V99" s="20">
        <v>0</v>
      </c>
      <c r="W99" s="2"/>
      <c r="X99" s="2"/>
      <c r="Y99" s="2"/>
      <c r="Z99" s="2"/>
      <c r="AA99" s="2"/>
      <c r="AB99" s="2"/>
    </row>
    <row r="100" spans="1:28" ht="15">
      <c r="A100" s="40">
        <f t="shared" si="8"/>
        <v>82</v>
      </c>
      <c r="B100" s="25" t="s">
        <v>211</v>
      </c>
      <c r="C100" s="20">
        <f t="shared" si="9"/>
        <v>0</v>
      </c>
      <c r="D100" s="20">
        <f t="shared" si="7"/>
        <v>0</v>
      </c>
      <c r="E100" s="20"/>
      <c r="F100" s="20"/>
      <c r="G100" s="20">
        <f t="shared" si="6"/>
        <v>0</v>
      </c>
      <c r="H100" s="20"/>
      <c r="I100" s="20">
        <f t="shared" si="10"/>
        <v>0</v>
      </c>
      <c r="J100" s="20">
        <f t="shared" si="10"/>
        <v>0</v>
      </c>
      <c r="K100" s="20">
        <f t="shared" si="10"/>
        <v>0</v>
      </c>
      <c r="L100" s="20">
        <f t="shared" si="10"/>
        <v>0</v>
      </c>
      <c r="M100" s="20"/>
      <c r="N100" s="20">
        <v>0</v>
      </c>
      <c r="O100" s="86"/>
      <c r="P100" s="20">
        <v>0</v>
      </c>
      <c r="Q100" s="20">
        <v>0</v>
      </c>
      <c r="R100" s="20"/>
      <c r="S100" s="20">
        <v>0</v>
      </c>
      <c r="T100" s="20">
        <v>0</v>
      </c>
      <c r="U100" s="20">
        <v>0</v>
      </c>
      <c r="V100" s="20">
        <v>0</v>
      </c>
      <c r="W100" s="2"/>
      <c r="X100" s="2"/>
      <c r="Y100" s="2"/>
      <c r="Z100" s="2"/>
      <c r="AA100" s="2"/>
      <c r="AB100" s="2"/>
    </row>
    <row r="101" spans="1:28" ht="15">
      <c r="A101" s="40">
        <f t="shared" si="8"/>
        <v>83</v>
      </c>
      <c r="B101" s="25" t="s">
        <v>629</v>
      </c>
      <c r="C101" s="20">
        <f t="shared" si="9"/>
        <v>313605.7499999999</v>
      </c>
      <c r="D101" s="20">
        <f t="shared" si="7"/>
        <v>183144.6499999999</v>
      </c>
      <c r="E101" s="20"/>
      <c r="F101" s="20"/>
      <c r="G101" s="20">
        <f t="shared" si="6"/>
        <v>248375</v>
      </c>
      <c r="H101" s="20"/>
      <c r="I101" s="20">
        <f t="shared" si="10"/>
        <v>64495.69999999995</v>
      </c>
      <c r="J101" s="20">
        <f t="shared" si="10"/>
        <v>1341.9500000000116</v>
      </c>
      <c r="K101" s="20">
        <f t="shared" si="10"/>
        <v>182537.54999999993</v>
      </c>
      <c r="L101" s="20">
        <f t="shared" si="10"/>
        <v>0</v>
      </c>
      <c r="M101" s="20"/>
      <c r="N101" s="20">
        <f>-2636669.6+2765661</f>
        <v>128991.3999999999</v>
      </c>
      <c r="O101" s="86">
        <f>-317278.35+320188</f>
        <v>2909.6500000000233</v>
      </c>
      <c r="P101" s="20">
        <f>-631021.3+812726</f>
        <v>181704.69999999995</v>
      </c>
      <c r="Q101" s="20">
        <v>0</v>
      </c>
      <c r="R101" s="20"/>
      <c r="S101" s="20">
        <v>0</v>
      </c>
      <c r="T101" s="20">
        <f>-320413.75+320188</f>
        <v>-225.75</v>
      </c>
      <c r="U101" s="20">
        <f>-629772.6+812726-2765244+2765661</f>
        <v>183370.3999999999</v>
      </c>
      <c r="V101" s="20">
        <v>0</v>
      </c>
      <c r="W101" s="2"/>
      <c r="X101" s="2"/>
      <c r="Y101" s="2"/>
      <c r="Z101" s="2"/>
      <c r="AA101" s="2"/>
      <c r="AB101" s="2"/>
    </row>
    <row r="102" spans="1:28" ht="15">
      <c r="A102" s="40">
        <f t="shared" si="8"/>
        <v>84</v>
      </c>
      <c r="B102" s="25" t="s">
        <v>630</v>
      </c>
      <c r="C102" s="20">
        <f t="shared" si="9"/>
        <v>199670.45</v>
      </c>
      <c r="D102" s="20">
        <f t="shared" si="7"/>
        <v>226441.75</v>
      </c>
      <c r="E102" s="20"/>
      <c r="F102" s="20"/>
      <c r="G102" s="20">
        <f t="shared" si="6"/>
        <v>213056</v>
      </c>
      <c r="H102" s="20"/>
      <c r="I102" s="20">
        <f t="shared" si="10"/>
        <v>-2351.65</v>
      </c>
      <c r="J102" s="20">
        <f t="shared" si="10"/>
        <v>3671.3250000000003</v>
      </c>
      <c r="K102" s="20">
        <f t="shared" si="10"/>
        <v>211736.425</v>
      </c>
      <c r="L102" s="20">
        <f t="shared" si="10"/>
        <v>0</v>
      </c>
      <c r="M102" s="20"/>
      <c r="N102" s="20">
        <v>-4703.3</v>
      </c>
      <c r="O102" s="86">
        <v>2115.05</v>
      </c>
      <c r="P102" s="20">
        <v>202258.7</v>
      </c>
      <c r="Q102" s="20">
        <v>0</v>
      </c>
      <c r="R102" s="20"/>
      <c r="S102" s="20">
        <v>0</v>
      </c>
      <c r="T102" s="20">
        <v>5227.6</v>
      </c>
      <c r="U102" s="20">
        <f>200847.15+20367</f>
        <v>221214.15</v>
      </c>
      <c r="V102" s="20">
        <v>0</v>
      </c>
      <c r="W102" s="2"/>
      <c r="X102" s="2"/>
      <c r="Y102" s="2"/>
      <c r="Z102" s="2"/>
      <c r="AA102" s="2"/>
      <c r="AB102" s="2"/>
    </row>
    <row r="103" spans="1:28" ht="15">
      <c r="A103" s="40">
        <f t="shared" si="8"/>
        <v>85</v>
      </c>
      <c r="B103" s="25" t="s">
        <v>631</v>
      </c>
      <c r="C103" s="20">
        <f t="shared" si="9"/>
        <v>-1837.5</v>
      </c>
      <c r="D103" s="20">
        <f t="shared" si="7"/>
        <v>-1837.5</v>
      </c>
      <c r="E103" s="20"/>
      <c r="F103" s="20"/>
      <c r="G103" s="20">
        <f>ROUND(SUM(C103:F103)/2,0)</f>
        <v>-1838</v>
      </c>
      <c r="H103" s="20"/>
      <c r="I103" s="20">
        <f t="shared" si="10"/>
        <v>0</v>
      </c>
      <c r="J103" s="20">
        <f t="shared" si="10"/>
        <v>0</v>
      </c>
      <c r="K103" s="20">
        <f t="shared" si="10"/>
        <v>-1837.5</v>
      </c>
      <c r="L103" s="20">
        <f t="shared" si="10"/>
        <v>0</v>
      </c>
      <c r="M103" s="20"/>
      <c r="N103" s="20">
        <v>0</v>
      </c>
      <c r="O103" s="86">
        <v>0</v>
      </c>
      <c r="P103" s="20">
        <v>-1837.5</v>
      </c>
      <c r="Q103" s="20">
        <v>0</v>
      </c>
      <c r="R103" s="20"/>
      <c r="S103" s="20">
        <v>0</v>
      </c>
      <c r="T103" s="20">
        <v>0</v>
      </c>
      <c r="U103" s="20">
        <v>-1837.5</v>
      </c>
      <c r="V103" s="20">
        <v>0</v>
      </c>
      <c r="W103" s="2"/>
      <c r="X103" s="2"/>
      <c r="Y103" s="2"/>
      <c r="Z103" s="2"/>
      <c r="AA103" s="2"/>
      <c r="AB103" s="2"/>
    </row>
    <row r="104" spans="1:28" ht="15">
      <c r="A104" s="40">
        <f t="shared" si="8"/>
        <v>86</v>
      </c>
      <c r="B104" s="25" t="s">
        <v>632</v>
      </c>
      <c r="C104" s="20">
        <f t="shared" si="9"/>
        <v>28433.09</v>
      </c>
      <c r="D104" s="20">
        <f t="shared" si="7"/>
        <v>0</v>
      </c>
      <c r="E104" s="20"/>
      <c r="F104" s="20"/>
      <c r="G104" s="20">
        <f t="shared" si="6"/>
        <v>14217</v>
      </c>
      <c r="H104" s="20"/>
      <c r="I104" s="20">
        <f t="shared" si="10"/>
        <v>0</v>
      </c>
      <c r="J104" s="20">
        <f t="shared" si="10"/>
        <v>0</v>
      </c>
      <c r="K104" s="20">
        <f t="shared" si="10"/>
        <v>0</v>
      </c>
      <c r="L104" s="20">
        <f t="shared" si="10"/>
        <v>14216.545</v>
      </c>
      <c r="M104" s="20"/>
      <c r="N104" s="20">
        <v>0</v>
      </c>
      <c r="O104" s="86">
        <v>0</v>
      </c>
      <c r="P104" s="20">
        <v>0</v>
      </c>
      <c r="Q104" s="20">
        <v>28433.09</v>
      </c>
      <c r="R104" s="20"/>
      <c r="S104" s="20">
        <v>0</v>
      </c>
      <c r="T104" s="20">
        <v>0</v>
      </c>
      <c r="U104" s="20">
        <v>0</v>
      </c>
      <c r="V104" s="20">
        <v>0</v>
      </c>
      <c r="W104" s="2"/>
      <c r="X104" s="2"/>
      <c r="Y104" s="2"/>
      <c r="Z104" s="2"/>
      <c r="AA104" s="2"/>
      <c r="AB104" s="2"/>
    </row>
    <row r="105" spans="1:28" ht="15">
      <c r="A105" s="40">
        <f t="shared" si="8"/>
        <v>87</v>
      </c>
      <c r="B105" s="25" t="s">
        <v>633</v>
      </c>
      <c r="C105" s="20">
        <f t="shared" si="9"/>
        <v>1279145</v>
      </c>
      <c r="D105" s="20">
        <f t="shared" si="7"/>
        <v>0</v>
      </c>
      <c r="E105" s="20"/>
      <c r="F105" s="20"/>
      <c r="G105" s="20">
        <f t="shared" si="6"/>
        <v>639573</v>
      </c>
      <c r="H105" s="20"/>
      <c r="I105" s="20">
        <f t="shared" si="10"/>
        <v>639572.5</v>
      </c>
      <c r="J105" s="20">
        <f t="shared" si="10"/>
        <v>0</v>
      </c>
      <c r="K105" s="20">
        <f t="shared" si="10"/>
        <v>0</v>
      </c>
      <c r="L105" s="20">
        <f t="shared" si="10"/>
        <v>0</v>
      </c>
      <c r="M105" s="20"/>
      <c r="N105" s="20">
        <v>1279145</v>
      </c>
      <c r="O105" s="86">
        <v>0</v>
      </c>
      <c r="P105" s="20">
        <v>0</v>
      </c>
      <c r="Q105" s="20">
        <v>0</v>
      </c>
      <c r="R105" s="20"/>
      <c r="S105" s="20">
        <v>0</v>
      </c>
      <c r="T105" s="20">
        <v>0</v>
      </c>
      <c r="U105" s="20">
        <v>0</v>
      </c>
      <c r="V105" s="20">
        <v>0</v>
      </c>
      <c r="W105" s="2"/>
      <c r="X105" s="2"/>
      <c r="Y105" s="2"/>
      <c r="Z105" s="2"/>
      <c r="AA105" s="2"/>
      <c r="AB105" s="2"/>
    </row>
    <row r="106" spans="1:28" ht="15">
      <c r="A106" s="40">
        <f t="shared" si="8"/>
        <v>88</v>
      </c>
      <c r="B106" s="25" t="s">
        <v>634</v>
      </c>
      <c r="C106" s="20">
        <f t="shared" si="9"/>
        <v>7559242.25</v>
      </c>
      <c r="D106" s="20">
        <f t="shared" si="7"/>
        <v>0</v>
      </c>
      <c r="E106" s="20"/>
      <c r="F106" s="20"/>
      <c r="G106" s="20">
        <f>ROUND(SUM(C106:F106)/2,0)</f>
        <v>3779621</v>
      </c>
      <c r="H106" s="20"/>
      <c r="I106" s="20">
        <f t="shared" si="10"/>
        <v>3779621.125</v>
      </c>
      <c r="J106" s="20">
        <f t="shared" si="10"/>
        <v>0</v>
      </c>
      <c r="K106" s="20">
        <f t="shared" si="10"/>
        <v>0</v>
      </c>
      <c r="L106" s="20">
        <f t="shared" si="10"/>
        <v>0</v>
      </c>
      <c r="M106" s="20"/>
      <c r="N106" s="20">
        <v>7559242.25</v>
      </c>
      <c r="O106" s="86">
        <v>0</v>
      </c>
      <c r="P106" s="20">
        <v>0</v>
      </c>
      <c r="Q106" s="20">
        <v>0</v>
      </c>
      <c r="R106" s="20"/>
      <c r="S106" s="20">
        <v>0</v>
      </c>
      <c r="T106" s="20">
        <v>0</v>
      </c>
      <c r="U106" s="20">
        <v>0</v>
      </c>
      <c r="V106" s="20">
        <v>0</v>
      </c>
      <c r="W106" s="2"/>
      <c r="X106" s="2"/>
      <c r="Y106" s="2"/>
      <c r="Z106" s="2"/>
      <c r="AA106" s="2"/>
      <c r="AB106" s="2"/>
    </row>
    <row r="107" spans="1:28" ht="15">
      <c r="A107" s="40">
        <f t="shared" si="8"/>
        <v>89</v>
      </c>
      <c r="B107" s="25" t="s">
        <v>635</v>
      </c>
      <c r="C107" s="20">
        <f t="shared" si="9"/>
        <v>0</v>
      </c>
      <c r="D107" s="20">
        <f t="shared" si="7"/>
        <v>0</v>
      </c>
      <c r="E107" s="20"/>
      <c r="F107" s="20"/>
      <c r="G107" s="20">
        <f t="shared" si="6"/>
        <v>0</v>
      </c>
      <c r="H107" s="20"/>
      <c r="I107" s="20">
        <f t="shared" si="10"/>
        <v>0</v>
      </c>
      <c r="J107" s="20">
        <f t="shared" si="10"/>
        <v>0</v>
      </c>
      <c r="K107" s="20">
        <f t="shared" si="10"/>
        <v>0</v>
      </c>
      <c r="L107" s="20">
        <f t="shared" si="10"/>
        <v>0</v>
      </c>
      <c r="M107" s="20"/>
      <c r="N107" s="20">
        <v>0</v>
      </c>
      <c r="O107" s="86">
        <v>0</v>
      </c>
      <c r="P107" s="20">
        <v>0</v>
      </c>
      <c r="Q107" s="20">
        <v>0</v>
      </c>
      <c r="R107" s="20"/>
      <c r="S107" s="20">
        <v>0</v>
      </c>
      <c r="T107" s="20">
        <v>0</v>
      </c>
      <c r="U107" s="20">
        <v>0</v>
      </c>
      <c r="V107" s="20">
        <v>0</v>
      </c>
      <c r="W107" s="2"/>
      <c r="X107" s="2"/>
      <c r="Y107" s="2"/>
      <c r="Z107" s="2"/>
      <c r="AA107" s="2"/>
      <c r="AB107" s="2"/>
    </row>
    <row r="108" spans="1:28" ht="15">
      <c r="A108" s="40">
        <f t="shared" si="8"/>
        <v>90</v>
      </c>
      <c r="B108" s="25" t="s">
        <v>636</v>
      </c>
      <c r="C108" s="20">
        <f t="shared" si="9"/>
        <v>0</v>
      </c>
      <c r="D108" s="20">
        <f t="shared" si="7"/>
        <v>0</v>
      </c>
      <c r="E108" s="20"/>
      <c r="F108" s="20"/>
      <c r="G108" s="20">
        <f>ROUND(SUM(C108:F108)/2,0)</f>
        <v>0</v>
      </c>
      <c r="H108" s="20"/>
      <c r="I108" s="20">
        <f t="shared" si="10"/>
        <v>0</v>
      </c>
      <c r="J108" s="20">
        <f t="shared" si="10"/>
        <v>0</v>
      </c>
      <c r="K108" s="20">
        <f t="shared" si="10"/>
        <v>0</v>
      </c>
      <c r="L108" s="20">
        <f t="shared" si="10"/>
        <v>0</v>
      </c>
      <c r="M108" s="20"/>
      <c r="N108" s="20">
        <v>0</v>
      </c>
      <c r="O108" s="86">
        <v>0</v>
      </c>
      <c r="P108" s="20">
        <v>0</v>
      </c>
      <c r="Q108" s="20">
        <v>0</v>
      </c>
      <c r="R108" s="20"/>
      <c r="S108" s="20">
        <v>0</v>
      </c>
      <c r="T108" s="20">
        <v>0</v>
      </c>
      <c r="U108" s="20">
        <v>0</v>
      </c>
      <c r="V108" s="20">
        <v>0</v>
      </c>
      <c r="W108" s="2"/>
      <c r="X108" s="2"/>
      <c r="Y108" s="2"/>
      <c r="Z108" s="2"/>
      <c r="AA108" s="2"/>
      <c r="AB108" s="2"/>
    </row>
    <row r="109" spans="1:28" ht="15">
      <c r="A109" s="40">
        <f t="shared" si="8"/>
        <v>91</v>
      </c>
      <c r="B109" s="20" t="s">
        <v>637</v>
      </c>
      <c r="C109" s="20">
        <f t="shared" si="9"/>
        <v>-0.05</v>
      </c>
      <c r="D109" s="20">
        <f t="shared" si="7"/>
        <v>0</v>
      </c>
      <c r="E109" s="20"/>
      <c r="F109" s="20"/>
      <c r="G109" s="20">
        <f>ROUND(SUM(C109:F109)/2,0)</f>
        <v>0</v>
      </c>
      <c r="H109" s="20"/>
      <c r="I109" s="20">
        <f t="shared" si="10"/>
        <v>-0.025</v>
      </c>
      <c r="J109" s="20">
        <f t="shared" si="10"/>
        <v>0</v>
      </c>
      <c r="K109" s="20">
        <f t="shared" si="10"/>
        <v>0</v>
      </c>
      <c r="L109" s="20">
        <f t="shared" si="10"/>
        <v>0</v>
      </c>
      <c r="M109" s="20"/>
      <c r="N109" s="20">
        <v>-0.05</v>
      </c>
      <c r="O109" s="86">
        <v>0</v>
      </c>
      <c r="P109" s="20">
        <v>0</v>
      </c>
      <c r="Q109" s="20">
        <v>0</v>
      </c>
      <c r="R109" s="20"/>
      <c r="S109" s="20">
        <v>0</v>
      </c>
      <c r="T109" s="20">
        <v>0</v>
      </c>
      <c r="U109" s="20">
        <v>0</v>
      </c>
      <c r="V109" s="20">
        <v>0</v>
      </c>
      <c r="W109" s="2"/>
      <c r="X109" s="2"/>
      <c r="Y109" s="2"/>
      <c r="Z109" s="2"/>
      <c r="AA109" s="2"/>
      <c r="AB109" s="2"/>
    </row>
    <row r="110" spans="1:28" ht="15">
      <c r="A110" s="40">
        <f t="shared" si="8"/>
        <v>92</v>
      </c>
      <c r="B110" s="25" t="s">
        <v>638</v>
      </c>
      <c r="C110" s="20">
        <f t="shared" si="9"/>
        <v>0</v>
      </c>
      <c r="D110" s="20">
        <f t="shared" si="7"/>
        <v>0</v>
      </c>
      <c r="E110" s="20"/>
      <c r="F110" s="20"/>
      <c r="G110" s="20">
        <f aca="true" t="shared" si="11" ref="G110:G115">ROUND(SUM(C110:F110)/2,0)</f>
        <v>0</v>
      </c>
      <c r="H110" s="20"/>
      <c r="I110" s="20">
        <f t="shared" si="10"/>
        <v>0</v>
      </c>
      <c r="J110" s="20">
        <f t="shared" si="10"/>
        <v>0</v>
      </c>
      <c r="K110" s="20">
        <f t="shared" si="10"/>
        <v>0</v>
      </c>
      <c r="L110" s="20">
        <f t="shared" si="10"/>
        <v>0</v>
      </c>
      <c r="M110" s="20"/>
      <c r="N110" s="20">
        <v>0</v>
      </c>
      <c r="O110" s="86">
        <v>0</v>
      </c>
      <c r="P110" s="20">
        <v>0</v>
      </c>
      <c r="Q110" s="20">
        <v>0</v>
      </c>
      <c r="R110" s="20"/>
      <c r="S110" s="20">
        <v>0</v>
      </c>
      <c r="T110" s="20">
        <v>0</v>
      </c>
      <c r="U110" s="20">
        <v>0</v>
      </c>
      <c r="V110" s="20">
        <v>0</v>
      </c>
      <c r="W110" s="2"/>
      <c r="X110" s="2"/>
      <c r="Y110" s="2"/>
      <c r="Z110" s="2"/>
      <c r="AA110" s="2"/>
      <c r="AB110" s="2"/>
    </row>
    <row r="111" spans="1:28" ht="15">
      <c r="A111" s="40">
        <f t="shared" si="8"/>
        <v>93</v>
      </c>
      <c r="B111" s="25" t="s">
        <v>639</v>
      </c>
      <c r="C111" s="20">
        <f t="shared" si="9"/>
        <v>1954488.8</v>
      </c>
      <c r="D111" s="20">
        <f t="shared" si="7"/>
        <v>1803584.45</v>
      </c>
      <c r="E111" s="20"/>
      <c r="F111" s="20"/>
      <c r="G111" s="20">
        <f t="shared" si="11"/>
        <v>1879037</v>
      </c>
      <c r="H111" s="20"/>
      <c r="I111" s="20">
        <f t="shared" si="10"/>
        <v>0</v>
      </c>
      <c r="J111" s="20">
        <f t="shared" si="10"/>
        <v>0</v>
      </c>
      <c r="K111" s="20">
        <f t="shared" si="10"/>
        <v>1879036.625</v>
      </c>
      <c r="L111" s="20">
        <f t="shared" si="10"/>
        <v>0</v>
      </c>
      <c r="M111" s="20"/>
      <c r="N111" s="20">
        <v>0</v>
      </c>
      <c r="O111" s="86">
        <v>0</v>
      </c>
      <c r="P111" s="20">
        <v>1954488.8</v>
      </c>
      <c r="Q111" s="20">
        <v>0</v>
      </c>
      <c r="R111" s="20"/>
      <c r="S111" s="20">
        <v>0</v>
      </c>
      <c r="T111" s="20">
        <v>0</v>
      </c>
      <c r="U111" s="20">
        <v>1803584.45</v>
      </c>
      <c r="V111" s="20">
        <v>0</v>
      </c>
      <c r="W111" s="2"/>
      <c r="X111" s="2"/>
      <c r="Y111" s="2"/>
      <c r="Z111" s="2"/>
      <c r="AA111" s="2"/>
      <c r="AB111" s="2"/>
    </row>
    <row r="112" spans="1:28" ht="15">
      <c r="A112" s="40">
        <f t="shared" si="8"/>
        <v>94</v>
      </c>
      <c r="B112" s="25" t="s">
        <v>452</v>
      </c>
      <c r="C112" s="20">
        <f t="shared" si="9"/>
        <v>2071326</v>
      </c>
      <c r="D112" s="20">
        <f t="shared" si="7"/>
        <v>2222301</v>
      </c>
      <c r="E112" s="20"/>
      <c r="F112" s="20"/>
      <c r="G112" s="20">
        <f t="shared" si="11"/>
        <v>2146814</v>
      </c>
      <c r="H112" s="20"/>
      <c r="I112" s="20">
        <f t="shared" si="10"/>
        <v>1032722</v>
      </c>
      <c r="J112" s="20">
        <f t="shared" si="10"/>
        <v>3529</v>
      </c>
      <c r="K112" s="20">
        <f t="shared" si="10"/>
        <v>1109323</v>
      </c>
      <c r="L112" s="20">
        <f t="shared" si="10"/>
        <v>1239.5</v>
      </c>
      <c r="M112" s="20"/>
      <c r="N112" s="20">
        <v>2065444</v>
      </c>
      <c r="O112" s="86">
        <v>3403</v>
      </c>
      <c r="P112" s="20">
        <v>0</v>
      </c>
      <c r="Q112" s="20">
        <v>2479</v>
      </c>
      <c r="R112" s="20"/>
      <c r="S112" s="20">
        <v>0</v>
      </c>
      <c r="T112" s="20">
        <v>3655</v>
      </c>
      <c r="U112" s="20">
        <v>2218646</v>
      </c>
      <c r="V112" s="20">
        <v>0</v>
      </c>
      <c r="W112" s="2"/>
      <c r="X112" s="2"/>
      <c r="Y112" s="2"/>
      <c r="Z112" s="2"/>
      <c r="AA112" s="2"/>
      <c r="AB112" s="2"/>
    </row>
    <row r="113" spans="1:28" ht="15">
      <c r="A113" s="40">
        <f t="shared" si="8"/>
        <v>95</v>
      </c>
      <c r="B113" s="20" t="s">
        <v>135</v>
      </c>
      <c r="C113" s="20">
        <f t="shared" si="9"/>
        <v>24176265.950000003</v>
      </c>
      <c r="D113" s="20">
        <f t="shared" si="7"/>
        <v>9409534.4</v>
      </c>
      <c r="E113" s="20"/>
      <c r="F113" s="20"/>
      <c r="G113" s="20">
        <f t="shared" si="11"/>
        <v>16792900</v>
      </c>
      <c r="H113" s="20"/>
      <c r="I113" s="20">
        <f t="shared" si="10"/>
        <v>11256752.225</v>
      </c>
      <c r="J113" s="20">
        <f t="shared" si="10"/>
        <v>1438747.3</v>
      </c>
      <c r="K113" s="20">
        <f t="shared" si="10"/>
        <v>4117804.6</v>
      </c>
      <c r="L113" s="20">
        <f t="shared" si="10"/>
        <v>-20403.95</v>
      </c>
      <c r="M113" s="20"/>
      <c r="N113" s="20">
        <f>14087804.5+8425700-0.05</f>
        <v>22513504.45</v>
      </c>
      <c r="O113" s="86">
        <f>556978.45-3.1</f>
        <v>556975.35</v>
      </c>
      <c r="P113" s="20">
        <v>1146594.05</v>
      </c>
      <c r="Q113" s="20">
        <v>-40807.9</v>
      </c>
      <c r="R113" s="20"/>
      <c r="S113" s="20">
        <v>0</v>
      </c>
      <c r="T113" s="20">
        <f>1334569.25+985950</f>
        <v>2320519.25</v>
      </c>
      <c r="U113" s="20">
        <f>2655915.15+2742252+1690848</f>
        <v>7089015.15</v>
      </c>
      <c r="V113" s="20">
        <v>0</v>
      </c>
      <c r="W113" s="2"/>
      <c r="X113" s="2"/>
      <c r="Y113" s="2"/>
      <c r="Z113" s="2"/>
      <c r="AA113" s="2"/>
      <c r="AB113" s="2"/>
    </row>
    <row r="114" spans="1:28" ht="15">
      <c r="A114" s="40">
        <f t="shared" si="8"/>
        <v>96</v>
      </c>
      <c r="B114" s="25" t="s">
        <v>396</v>
      </c>
      <c r="C114" s="20">
        <f t="shared" si="9"/>
        <v>-125191.15</v>
      </c>
      <c r="D114" s="20">
        <f t="shared" si="7"/>
        <v>-28403.7</v>
      </c>
      <c r="E114" s="20"/>
      <c r="F114" s="20"/>
      <c r="G114" s="20">
        <f t="shared" si="11"/>
        <v>-76797</v>
      </c>
      <c r="H114" s="20"/>
      <c r="I114" s="20">
        <f t="shared" si="10"/>
        <v>-51591.225</v>
      </c>
      <c r="J114" s="20">
        <f t="shared" si="10"/>
        <v>-5430.6</v>
      </c>
      <c r="K114" s="20">
        <f t="shared" si="10"/>
        <v>-19775.6</v>
      </c>
      <c r="L114" s="20">
        <f t="shared" si="10"/>
        <v>0</v>
      </c>
      <c r="M114" s="20"/>
      <c r="N114" s="20">
        <v>-103182.45</v>
      </c>
      <c r="O114" s="86">
        <v>-5559.4</v>
      </c>
      <c r="P114" s="20">
        <v>-16449.3</v>
      </c>
      <c r="Q114" s="20">
        <v>0</v>
      </c>
      <c r="R114" s="20"/>
      <c r="S114" s="20">
        <v>0</v>
      </c>
      <c r="T114" s="20">
        <v>-5301.8</v>
      </c>
      <c r="U114" s="20">
        <f>-15362.9-7739</f>
        <v>-23101.9</v>
      </c>
      <c r="V114" s="20">
        <v>0</v>
      </c>
      <c r="W114" s="2"/>
      <c r="X114" s="2"/>
      <c r="Y114" s="2"/>
      <c r="Z114" s="2"/>
      <c r="AA114" s="2"/>
      <c r="AB114" s="2"/>
    </row>
    <row r="115" spans="1:28" ht="15">
      <c r="A115" s="40">
        <f t="shared" si="8"/>
        <v>97</v>
      </c>
      <c r="B115" s="25" t="s">
        <v>219</v>
      </c>
      <c r="C115" s="20">
        <f t="shared" si="9"/>
        <v>5726336.1</v>
      </c>
      <c r="D115" s="20">
        <f t="shared" si="7"/>
        <v>1708443.6600000001</v>
      </c>
      <c r="E115" s="20"/>
      <c r="F115" s="20"/>
      <c r="G115" s="20">
        <f t="shared" si="11"/>
        <v>3717390</v>
      </c>
      <c r="H115" s="20"/>
      <c r="I115" s="20">
        <f t="shared" si="10"/>
        <v>2327439.27</v>
      </c>
      <c r="J115" s="20">
        <f t="shared" si="10"/>
        <v>344567.755</v>
      </c>
      <c r="K115" s="20">
        <f t="shared" si="10"/>
        <v>1045382.855</v>
      </c>
      <c r="L115" s="20">
        <f t="shared" si="10"/>
        <v>0</v>
      </c>
      <c r="M115" s="20"/>
      <c r="N115" s="20">
        <v>4654878.54</v>
      </c>
      <c r="O115" s="86">
        <v>136538.93</v>
      </c>
      <c r="P115" s="20">
        <v>934918.63</v>
      </c>
      <c r="Q115" s="20">
        <v>0</v>
      </c>
      <c r="R115" s="20"/>
      <c r="S115" s="20">
        <v>0</v>
      </c>
      <c r="T115" s="20">
        <v>552596.58</v>
      </c>
      <c r="U115" s="20">
        <v>1155847.08</v>
      </c>
      <c r="V115" s="20">
        <v>0</v>
      </c>
      <c r="W115" s="2"/>
      <c r="X115" s="2"/>
      <c r="Y115" s="2"/>
      <c r="Z115" s="2"/>
      <c r="AA115" s="2"/>
      <c r="AB115" s="2"/>
    </row>
    <row r="116" spans="1:28" ht="15">
      <c r="A116" s="40">
        <f t="shared" si="8"/>
        <v>98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86"/>
      <c r="P116" s="20"/>
      <c r="Q116" s="20"/>
      <c r="R116" s="20"/>
      <c r="S116" s="20"/>
      <c r="T116" s="20"/>
      <c r="U116" s="20"/>
      <c r="V116" s="20"/>
      <c r="W116" s="2"/>
      <c r="X116" s="2"/>
      <c r="Y116" s="2"/>
      <c r="Z116" s="2"/>
      <c r="AA116" s="2"/>
      <c r="AB116" s="2"/>
    </row>
    <row r="117" spans="1:28" ht="15">
      <c r="A117" s="40">
        <f t="shared" si="8"/>
        <v>99</v>
      </c>
      <c r="B117" s="20" t="s">
        <v>34</v>
      </c>
      <c r="C117" s="20">
        <v>46671810.99</v>
      </c>
      <c r="D117" s="20">
        <f>1182266.78+8948537.27+19105475</f>
        <v>29236279.049999997</v>
      </c>
      <c r="E117" s="20">
        <f aca="true" t="shared" si="12" ref="E117:F120">-C117</f>
        <v>-46671810.99</v>
      </c>
      <c r="F117" s="20">
        <f t="shared" si="12"/>
        <v>-29236279.049999997</v>
      </c>
      <c r="G117" s="20">
        <f aca="true" t="shared" si="13" ref="G117:G123">ROUND(SUM(C117:F117)/2,0)</f>
        <v>0</v>
      </c>
      <c r="H117" s="20"/>
      <c r="I117" s="20"/>
      <c r="J117" s="20"/>
      <c r="K117" s="20"/>
      <c r="L117" s="20"/>
      <c r="M117" s="20"/>
      <c r="N117" s="20"/>
      <c r="O117" s="86"/>
      <c r="P117" s="20"/>
      <c r="Q117" s="20"/>
      <c r="R117" s="20"/>
      <c r="S117" s="20"/>
      <c r="T117" s="20"/>
      <c r="U117" s="20"/>
      <c r="V117" s="20"/>
      <c r="W117" s="2"/>
      <c r="X117" s="2"/>
      <c r="Y117" s="2"/>
      <c r="Z117" s="2"/>
      <c r="AA117" s="2"/>
      <c r="AB117" s="2"/>
    </row>
    <row r="118" spans="1:28" ht="15">
      <c r="A118" s="40">
        <f t="shared" si="8"/>
        <v>100</v>
      </c>
      <c r="B118" s="20" t="s">
        <v>221</v>
      </c>
      <c r="C118" s="20">
        <v>3311.2</v>
      </c>
      <c r="D118" s="20">
        <v>14329092</v>
      </c>
      <c r="E118" s="20">
        <f t="shared" si="12"/>
        <v>-3311.2</v>
      </c>
      <c r="F118" s="20">
        <f t="shared" si="12"/>
        <v>-14329092</v>
      </c>
      <c r="G118" s="20">
        <f t="shared" si="13"/>
        <v>0</v>
      </c>
      <c r="H118" s="20"/>
      <c r="I118" s="20"/>
      <c r="J118" s="20"/>
      <c r="K118" s="20"/>
      <c r="L118" s="20"/>
      <c r="M118" s="20"/>
      <c r="N118" s="20"/>
      <c r="O118" s="86"/>
      <c r="P118" s="20"/>
      <c r="Q118" s="20"/>
      <c r="R118" s="20"/>
      <c r="S118" s="20"/>
      <c r="T118" s="20"/>
      <c r="U118" s="20"/>
      <c r="V118" s="20"/>
      <c r="W118" s="2"/>
      <c r="X118" s="2"/>
      <c r="Y118" s="2"/>
      <c r="Z118" s="2"/>
      <c r="AA118" s="2"/>
      <c r="AB118" s="2"/>
    </row>
    <row r="119" spans="1:28" ht="15">
      <c r="A119" s="40">
        <f t="shared" si="8"/>
        <v>101</v>
      </c>
      <c r="B119" s="20" t="s">
        <v>222</v>
      </c>
      <c r="C119" s="20">
        <v>435897.91</v>
      </c>
      <c r="D119" s="20">
        <f>359425.76+65336.24</f>
        <v>424762</v>
      </c>
      <c r="E119" s="20">
        <f t="shared" si="12"/>
        <v>-435897.91</v>
      </c>
      <c r="F119" s="20">
        <f t="shared" si="12"/>
        <v>-424762</v>
      </c>
      <c r="G119" s="20">
        <f t="shared" si="13"/>
        <v>0</v>
      </c>
      <c r="H119" s="20"/>
      <c r="I119" s="20"/>
      <c r="J119" s="20"/>
      <c r="K119" s="20"/>
      <c r="L119" s="20"/>
      <c r="M119" s="20"/>
      <c r="N119" s="20"/>
      <c r="O119" s="86"/>
      <c r="P119" s="20"/>
      <c r="Q119" s="20"/>
      <c r="R119" s="20"/>
      <c r="S119" s="20"/>
      <c r="T119" s="20"/>
      <c r="U119" s="20"/>
      <c r="V119" s="20"/>
      <c r="W119" s="2"/>
      <c r="X119" s="2"/>
      <c r="Y119" s="2"/>
      <c r="Z119" s="2"/>
      <c r="AA119" s="2"/>
      <c r="AB119" s="2"/>
    </row>
    <row r="120" spans="1:28" ht="15">
      <c r="A120" s="40">
        <f t="shared" si="8"/>
        <v>102</v>
      </c>
      <c r="B120" s="20" t="s">
        <v>223</v>
      </c>
      <c r="C120" s="20">
        <v>641942</v>
      </c>
      <c r="D120" s="20">
        <v>0</v>
      </c>
      <c r="E120" s="20">
        <f t="shared" si="12"/>
        <v>-641942</v>
      </c>
      <c r="F120" s="20">
        <f t="shared" si="12"/>
        <v>0</v>
      </c>
      <c r="G120" s="20">
        <f t="shared" si="13"/>
        <v>0</v>
      </c>
      <c r="H120" s="20"/>
      <c r="I120" s="20"/>
      <c r="J120" s="20"/>
      <c r="K120" s="20"/>
      <c r="L120" s="20"/>
      <c r="M120" s="20"/>
      <c r="N120" s="20"/>
      <c r="O120" s="86"/>
      <c r="P120" s="20"/>
      <c r="Q120" s="20"/>
      <c r="R120" s="20"/>
      <c r="S120" s="20"/>
      <c r="T120" s="20"/>
      <c r="U120" s="20"/>
      <c r="V120" s="20"/>
      <c r="W120" s="2"/>
      <c r="X120" s="2"/>
      <c r="Y120" s="2"/>
      <c r="Z120" s="2"/>
      <c r="AA120" s="2"/>
      <c r="AB120" s="2"/>
    </row>
    <row r="121" spans="1:28" ht="15">
      <c r="A121" s="40">
        <f t="shared" si="8"/>
        <v>103</v>
      </c>
      <c r="B121" s="25" t="s">
        <v>224</v>
      </c>
      <c r="C121" s="20">
        <v>90131364</v>
      </c>
      <c r="D121" s="20">
        <v>0</v>
      </c>
      <c r="E121" s="20">
        <f>-C121</f>
        <v>-90131364</v>
      </c>
      <c r="F121" s="20">
        <f>-D121</f>
        <v>0</v>
      </c>
      <c r="G121" s="20">
        <f t="shared" si="13"/>
        <v>0</v>
      </c>
      <c r="H121" s="20"/>
      <c r="I121" s="20"/>
      <c r="J121" s="20"/>
      <c r="K121" s="20"/>
      <c r="L121" s="20"/>
      <c r="M121" s="20"/>
      <c r="N121" s="20"/>
      <c r="O121" s="86"/>
      <c r="P121" s="20"/>
      <c r="Q121" s="20"/>
      <c r="R121" s="20"/>
      <c r="S121" s="20"/>
      <c r="T121" s="20"/>
      <c r="U121" s="20"/>
      <c r="V121" s="20"/>
      <c r="W121" s="2"/>
      <c r="X121" s="2"/>
      <c r="Y121" s="2"/>
      <c r="Z121" s="2"/>
      <c r="AA121" s="2"/>
      <c r="AB121" s="2"/>
    </row>
    <row r="122" spans="1:28" ht="15">
      <c r="A122" s="40">
        <f t="shared" si="8"/>
        <v>104</v>
      </c>
      <c r="B122" s="25" t="s">
        <v>640</v>
      </c>
      <c r="C122" s="20">
        <v>141837</v>
      </c>
      <c r="D122" s="20">
        <v>0</v>
      </c>
      <c r="E122" s="20">
        <f>-C122</f>
        <v>-141837</v>
      </c>
      <c r="F122" s="20">
        <f>-D122</f>
        <v>0</v>
      </c>
      <c r="G122" s="20">
        <f>ROUND(SUM(C122:F122)/2,0)</f>
        <v>0</v>
      </c>
      <c r="H122" s="20"/>
      <c r="I122" s="20"/>
      <c r="J122" s="20"/>
      <c r="K122" s="20"/>
      <c r="L122" s="20"/>
      <c r="M122" s="20"/>
      <c r="N122" s="20"/>
      <c r="O122" s="86"/>
      <c r="P122" s="20"/>
      <c r="Q122" s="20"/>
      <c r="R122" s="20"/>
      <c r="S122" s="20"/>
      <c r="T122" s="20"/>
      <c r="U122" s="20"/>
      <c r="V122" s="20"/>
      <c r="W122" s="2"/>
      <c r="X122" s="2"/>
      <c r="Y122" s="2"/>
      <c r="Z122" s="2"/>
      <c r="AA122" s="2"/>
      <c r="AB122" s="2"/>
    </row>
    <row r="123" spans="1:28" ht="15">
      <c r="A123" s="40">
        <f t="shared" si="8"/>
        <v>105</v>
      </c>
      <c r="B123" s="25" t="s">
        <v>227</v>
      </c>
      <c r="C123" s="20">
        <f>SUM(N123:Q123)</f>
        <v>23083639</v>
      </c>
      <c r="D123" s="20">
        <f>SUM(S123:V123)</f>
        <v>16504571</v>
      </c>
      <c r="E123" s="20"/>
      <c r="F123" s="20"/>
      <c r="G123" s="20">
        <f t="shared" si="13"/>
        <v>19794105</v>
      </c>
      <c r="H123" s="20"/>
      <c r="I123" s="20">
        <f>(+N123+S123)/2</f>
        <v>11541819.5</v>
      </c>
      <c r="J123" s="20">
        <f>(+O123+T123)/2</f>
        <v>0</v>
      </c>
      <c r="K123" s="20">
        <f>(+P123+U123)/2</f>
        <v>8252285.5</v>
      </c>
      <c r="L123" s="20">
        <f>(+Q123+V123)/2</f>
        <v>0</v>
      </c>
      <c r="M123" s="20"/>
      <c r="N123" s="20">
        <v>23083639</v>
      </c>
      <c r="O123" s="86"/>
      <c r="P123" s="20"/>
      <c r="Q123" s="20"/>
      <c r="R123" s="20"/>
      <c r="S123" s="20">
        <v>0</v>
      </c>
      <c r="T123" s="20"/>
      <c r="U123" s="20">
        <v>16504571</v>
      </c>
      <c r="V123" s="20"/>
      <c r="W123" s="2"/>
      <c r="X123" s="2"/>
      <c r="Y123" s="2"/>
      <c r="Z123" s="2"/>
      <c r="AA123" s="2"/>
      <c r="AB123" s="2"/>
    </row>
    <row r="124" spans="1:28" ht="15">
      <c r="A124" s="40">
        <f t="shared" si="8"/>
        <v>106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86"/>
      <c r="P124" s="20"/>
      <c r="Q124" s="20"/>
      <c r="R124" s="20"/>
      <c r="S124" s="20"/>
      <c r="T124" s="20"/>
      <c r="U124" s="20"/>
      <c r="V124" s="20"/>
      <c r="W124" s="2"/>
      <c r="X124" s="2"/>
      <c r="Y124" s="2"/>
      <c r="Z124" s="2"/>
      <c r="AA124" s="2"/>
      <c r="AB124" s="2"/>
    </row>
    <row r="125" spans="1:28" ht="15.75" thickBot="1">
      <c r="A125" s="40">
        <f t="shared" si="8"/>
        <v>107</v>
      </c>
      <c r="B125" s="25" t="s">
        <v>228</v>
      </c>
      <c r="C125" s="23">
        <f>SUM(C17:C124)</f>
        <v>497598963.96</v>
      </c>
      <c r="D125" s="23">
        <f>SUM(D17:D124)</f>
        <v>183084629.24000004</v>
      </c>
      <c r="E125" s="23">
        <f>SUM(E17:E124)</f>
        <v>-138026163.1</v>
      </c>
      <c r="F125" s="23">
        <f>SUM(F17:F124)</f>
        <v>-43990133.05</v>
      </c>
      <c r="G125" s="23">
        <f>SUM(G17:G124)</f>
        <v>249333654</v>
      </c>
      <c r="H125" s="23"/>
      <c r="I125" s="23">
        <f>SUM(I17:I124)</f>
        <v>135300577.32999998</v>
      </c>
      <c r="J125" s="23">
        <f>SUM(J17:J124)</f>
        <v>20043559.074999996</v>
      </c>
      <c r="K125" s="23">
        <f>SUM(K17:K124)</f>
        <v>91302536.99</v>
      </c>
      <c r="L125" s="23">
        <f>SUM(L17:L124)</f>
        <v>2686975.13</v>
      </c>
      <c r="M125" s="23"/>
      <c r="N125" s="23">
        <f>SUM(N17:N124)</f>
        <v>270601154.65999997</v>
      </c>
      <c r="O125" s="65">
        <f>SUM(O17:O124)</f>
        <v>20854726.939999998</v>
      </c>
      <c r="P125" s="23">
        <f>SUM(P17:P124)</f>
        <v>62742968.99999999</v>
      </c>
      <c r="Q125" s="23">
        <f>SUM(Q17:Q124)</f>
        <v>5373950.26</v>
      </c>
      <c r="R125" s="20"/>
      <c r="S125" s="23">
        <f>SUM(S17:S124)</f>
        <v>0</v>
      </c>
      <c r="T125" s="23">
        <f>SUM(T17:T124)</f>
        <v>19232391.209999997</v>
      </c>
      <c r="U125" s="23">
        <f>SUM(U17:U124)</f>
        <v>119862104.98000006</v>
      </c>
      <c r="V125" s="23">
        <f>SUM(V17:V124)</f>
        <v>0</v>
      </c>
      <c r="W125" s="2"/>
      <c r="X125" s="2"/>
      <c r="Y125" s="2"/>
      <c r="Z125" s="2"/>
      <c r="AA125" s="2"/>
      <c r="AB125" s="2"/>
    </row>
    <row r="126" spans="1:28" ht="15.75" thickTop="1">
      <c r="A126" s="39"/>
      <c r="B126" s="20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92"/>
      <c r="P126" s="24"/>
      <c r="Q126" s="24"/>
      <c r="R126" s="20"/>
      <c r="S126" s="24"/>
      <c r="T126" s="24"/>
      <c r="U126" s="24"/>
      <c r="V126" s="24"/>
      <c r="W126" s="2"/>
      <c r="X126" s="2"/>
      <c r="Y126" s="2"/>
      <c r="Z126" s="2"/>
      <c r="AA126" s="2"/>
      <c r="AB126" s="2"/>
    </row>
    <row r="127" spans="1:28" ht="15">
      <c r="A127" s="39"/>
      <c r="B127" s="20"/>
      <c r="C127" s="20"/>
      <c r="D127" s="20" t="s">
        <v>77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86"/>
      <c r="P127" s="20"/>
      <c r="Q127" s="20"/>
      <c r="R127" s="20"/>
      <c r="S127" s="20"/>
      <c r="T127" s="20"/>
      <c r="U127" s="20"/>
      <c r="V127" s="20"/>
      <c r="W127" s="2"/>
      <c r="X127" s="2"/>
      <c r="Y127" s="2"/>
      <c r="Z127" s="2"/>
      <c r="AA127" s="2"/>
      <c r="AB127" s="2"/>
    </row>
    <row r="128" spans="1:28" ht="15">
      <c r="A128" s="39"/>
      <c r="B128" s="20"/>
      <c r="C128" s="20"/>
      <c r="D128" s="20" t="s">
        <v>77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86"/>
      <c r="P128" s="20"/>
      <c r="Q128" s="20"/>
      <c r="R128" s="20"/>
      <c r="S128" s="20"/>
      <c r="T128" s="20"/>
      <c r="U128" s="20"/>
      <c r="V128" s="20"/>
      <c r="W128" s="2"/>
      <c r="X128" s="2"/>
      <c r="Y128" s="2"/>
      <c r="Z128" s="2"/>
      <c r="AA128" s="2"/>
      <c r="AB128" s="2"/>
    </row>
    <row r="129" spans="1:28" ht="15">
      <c r="A129" s="39"/>
      <c r="B129" s="20"/>
      <c r="C129" s="25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86"/>
      <c r="P129" s="20"/>
      <c r="Q129" s="20"/>
      <c r="R129" s="20"/>
      <c r="S129" s="20"/>
      <c r="T129" s="20"/>
      <c r="U129" s="20"/>
      <c r="V129" s="20"/>
      <c r="W129" s="2"/>
      <c r="X129" s="2"/>
      <c r="Y129" s="2"/>
      <c r="Z129" s="2"/>
      <c r="AA129" s="2"/>
      <c r="AB129" s="2"/>
    </row>
    <row r="130" spans="2:2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2:28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2:28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2:28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2:28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2:28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2:28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2:28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2:28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2:28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2:28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2:28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2:28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2:28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2:28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2:28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2:28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2:28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2:28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2:28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2:28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2:28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2:28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2:28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2:28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2:28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2:28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2:28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2:28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2:28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2:28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2:28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2:28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2:28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2:28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2:28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2:28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2:28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2:28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2:28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2:28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2:28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2:28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2:28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2:28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2:28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2:28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2:28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2:28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2:28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2:28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2:28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2:28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2:28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2:28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2:28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2:28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2:28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2:2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2:28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2:28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2:28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2:28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2:28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2:28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2:28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2:28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2:28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2:28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2:28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2:28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2:28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28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28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28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28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28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28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28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28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2:28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2:28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2:28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2:28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2:28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2:28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2:28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2:28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2:28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2:28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2:28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2:28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2:28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2:28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2:28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2:28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2:28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2:28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2:28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2:28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2:28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2:28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2:28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2:28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2:28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2:28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2:28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2:28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2:28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2:28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2:28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2:28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2:28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2:28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2:28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2:28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2:28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ht="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ht="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ht="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ht="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ht="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ht="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ht="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ht="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ht="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ht="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ht="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ht="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ht="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ht="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ht="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ht="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ht="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ht="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ht="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ht="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ht="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ht="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ht="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ht="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ht="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ht="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ht="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ht="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ht="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ht="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ht="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ht="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ht="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ht="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ht="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ht="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ht="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ht="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ht="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ht="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ht="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ht="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ht="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2:28" ht="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2:28" ht="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2:28" ht="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2:28" ht="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2:28" ht="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2:28" ht="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2:28" ht="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2:28" ht="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2:28" ht="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2:28" ht="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2:28" ht="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2:28" ht="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2:28" ht="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2:28" ht="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2:28" ht="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2:28" ht="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2:28" ht="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2:28" ht="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2:28" ht="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2:28" ht="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2:28" ht="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2:28" ht="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2:28" ht="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2:28" ht="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2:28" ht="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2:28" ht="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2:28" ht="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2:28" ht="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2:28" ht="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2:28" ht="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2:28" ht="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2:28" ht="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2:28" ht="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2:28" ht="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2:28" ht="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2:28" ht="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2:28" ht="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2:28" ht="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2:28" ht="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2:28" ht="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2:28" ht="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2:28" ht="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2:28" ht="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2:28" ht="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2:28" ht="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2:28" ht="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2:28" ht="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2:28" ht="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2:28" ht="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2:28" ht="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2:28" ht="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2:28" ht="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2:28" ht="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2:28" ht="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2:28" ht="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2:28" ht="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2:28" ht="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2:28" ht="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2:28" ht="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2:28" ht="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2:28" ht="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2:28" ht="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2:28" ht="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2:28" ht="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2:28" ht="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2:28" ht="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2:28" ht="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2:28" ht="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2:28" ht="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2:28" ht="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2:28" ht="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2:28" ht="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2:28" ht="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2:28" ht="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2:28" ht="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2:28" ht="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2:28" ht="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2:28" ht="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2:28" ht="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2:28" ht="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2:28" ht="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2:28" ht="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</sheetData>
  <sheetProtection/>
  <printOptions/>
  <pageMargins left="0.7" right="0.7" top="0.75" bottom="0.75" header="0.3" footer="0.3"/>
  <pageSetup fitToHeight="8" fitToWidth="4" horizontalDpi="600" verticalDpi="600" orientation="portrait" scale="55" r:id="rId1"/>
  <headerFooter alignWithMargins="0">
    <oddHeader>&amp;RSTATEMENT AG-3-2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7"/>
  <sheetViews>
    <sheetView showOutlineSymbol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S74"/>
    </sheetView>
  </sheetViews>
  <sheetFormatPr defaultColWidth="12.7109375" defaultRowHeight="15"/>
  <cols>
    <col min="1" max="1" width="4.57421875" style="3" customWidth="1"/>
    <col min="2" max="2" width="51.28125" style="1" customWidth="1"/>
    <col min="3" max="3" width="12.8515625" style="1" customWidth="1"/>
    <col min="4" max="4" width="13.00390625" style="1" customWidth="1"/>
    <col min="5" max="5" width="14.421875" style="1" hidden="1" customWidth="1"/>
    <col min="6" max="6" width="15.57421875" style="1" hidden="1" customWidth="1"/>
    <col min="7" max="7" width="14.7109375" style="1" hidden="1" customWidth="1"/>
    <col min="8" max="8" width="3.140625" style="1" hidden="1" customWidth="1"/>
    <col min="9" max="9" width="13.28125" style="1" hidden="1" customWidth="1"/>
    <col min="10" max="10" width="14.140625" style="1" hidden="1" customWidth="1"/>
    <col min="11" max="11" width="13.8515625" style="1" hidden="1" customWidth="1"/>
    <col min="12" max="12" width="2.28125" style="1" customWidth="1"/>
    <col min="13" max="13" width="13.28125" style="1" customWidth="1"/>
    <col min="14" max="14" width="14.8515625" style="1" customWidth="1"/>
    <col min="15" max="15" width="14.00390625" style="1" customWidth="1"/>
    <col min="16" max="16" width="2.57421875" style="1" customWidth="1"/>
    <col min="17" max="17" width="13.00390625" style="1" customWidth="1"/>
    <col min="18" max="18" width="14.57421875" style="1" customWidth="1"/>
    <col min="19" max="19" width="16.8515625" style="1" customWidth="1"/>
    <col min="20" max="16384" width="12.7109375" style="1" customWidth="1"/>
  </cols>
  <sheetData>
    <row r="1" spans="1:19" ht="15">
      <c r="A1" s="7"/>
      <c r="B1" s="8" t="s">
        <v>641</v>
      </c>
      <c r="C1" s="9"/>
      <c r="D1" s="9"/>
      <c r="E1" s="9"/>
      <c r="F1" s="9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10"/>
    </row>
    <row r="2" spans="1:19" ht="15">
      <c r="A2" s="7"/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19"/>
    </row>
    <row r="3" spans="1:19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7"/>
      <c r="B4" s="9"/>
      <c r="C4" s="9"/>
      <c r="D4" s="9"/>
      <c r="E4" s="9"/>
      <c r="F4" s="9"/>
      <c r="G4" s="11" t="s">
        <v>2</v>
      </c>
      <c r="H4" s="11"/>
      <c r="I4" s="11"/>
      <c r="J4" s="11"/>
      <c r="K4" s="11"/>
      <c r="L4" s="11"/>
      <c r="M4" s="9"/>
      <c r="N4" s="9"/>
      <c r="O4" s="9"/>
      <c r="P4" s="9"/>
      <c r="Q4" s="9"/>
      <c r="R4" s="9"/>
      <c r="S4" s="9"/>
    </row>
    <row r="5" spans="1:19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</row>
    <row r="9" spans="1:19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37" t="s">
        <v>22</v>
      </c>
      <c r="N10" s="14"/>
      <c r="O10" s="14"/>
      <c r="P10" s="9"/>
      <c r="Q10" s="37" t="s">
        <v>659</v>
      </c>
      <c r="R10" s="14"/>
      <c r="S10" s="14"/>
    </row>
    <row r="11" spans="1:19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</row>
    <row r="12" spans="1:19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</row>
    <row r="13" spans="1:19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</row>
    <row r="14" spans="1:19" ht="15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9"/>
    </row>
    <row r="15" spans="1:19" ht="15">
      <c r="A15" s="22">
        <v>1</v>
      </c>
      <c r="B15" s="10" t="s">
        <v>38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>
      <c r="A16" s="22">
        <f aca="true" t="shared" si="0" ref="A16:A73">A15+1</f>
        <v>2</v>
      </c>
      <c r="B16" s="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>
      <c r="A17" s="22">
        <f t="shared" si="0"/>
        <v>3</v>
      </c>
      <c r="B17" s="19" t="s">
        <v>445</v>
      </c>
      <c r="C17" s="20">
        <f>SUM(M17:O17)</f>
        <v>28297320</v>
      </c>
      <c r="D17" s="20">
        <f>SUM(Q17:S17)</f>
        <v>35141618.95</v>
      </c>
      <c r="E17" s="20"/>
      <c r="F17" s="20"/>
      <c r="G17" s="20">
        <f>ROUND(SUM(C17:F17)/2,0)</f>
        <v>31719469</v>
      </c>
      <c r="H17" s="20"/>
      <c r="I17" s="20">
        <v>0</v>
      </c>
      <c r="J17" s="20">
        <f>ROUND((+N17+R17)/2,0)</f>
        <v>17124604</v>
      </c>
      <c r="K17" s="20">
        <f>ROUND((+O17+S17)/2,0)</f>
        <v>14594865</v>
      </c>
      <c r="L17" s="20"/>
      <c r="M17" s="20"/>
      <c r="N17" s="20">
        <f>14730533.9+631</f>
        <v>14731164.9</v>
      </c>
      <c r="O17" s="20">
        <f>13565824.1+331</f>
        <v>13566155.1</v>
      </c>
      <c r="P17" s="20"/>
      <c r="Q17" s="20"/>
      <c r="R17" s="20">
        <f>19517507+537</f>
        <v>19518044</v>
      </c>
      <c r="S17" s="20">
        <f>15625465.95-1891</f>
        <v>15623574.95</v>
      </c>
    </row>
    <row r="18" spans="1:19" ht="15">
      <c r="A18" s="22">
        <f t="shared" si="0"/>
        <v>4</v>
      </c>
      <c r="B18" s="19" t="s">
        <v>642</v>
      </c>
      <c r="C18" s="20">
        <f aca="true" t="shared" si="1" ref="C18:C25">SUM(M18:O18)</f>
        <v>4364.15</v>
      </c>
      <c r="D18" s="20">
        <f aca="true" t="shared" si="2" ref="D18:D25">SUM(Q18:S18)</f>
        <v>3880.45</v>
      </c>
      <c r="E18" s="20"/>
      <c r="F18" s="20"/>
      <c r="G18" s="20">
        <f>ROUND(SUM(C18:F18)/2,0)</f>
        <v>4122</v>
      </c>
      <c r="H18" s="20"/>
      <c r="I18" s="20">
        <v>0</v>
      </c>
      <c r="J18" s="20">
        <f aca="true" t="shared" si="3" ref="J18:K26">ROUND((+N18+R18)/2,0)</f>
        <v>2008</v>
      </c>
      <c r="K18" s="20">
        <f t="shared" si="3"/>
        <v>2114</v>
      </c>
      <c r="L18" s="20"/>
      <c r="M18" s="20"/>
      <c r="N18" s="20">
        <v>2125.9</v>
      </c>
      <c r="O18" s="20">
        <v>2238.25</v>
      </c>
      <c r="P18" s="20"/>
      <c r="Q18" s="20"/>
      <c r="R18" s="20">
        <v>1890.35</v>
      </c>
      <c r="S18" s="20">
        <v>1990.1</v>
      </c>
    </row>
    <row r="19" spans="1:19" ht="15">
      <c r="A19" s="22">
        <f t="shared" si="0"/>
        <v>5</v>
      </c>
      <c r="B19" s="19" t="s">
        <v>643</v>
      </c>
      <c r="C19" s="20">
        <f t="shared" si="1"/>
        <v>7166.25</v>
      </c>
      <c r="D19" s="20">
        <f t="shared" si="2"/>
        <v>6385.4</v>
      </c>
      <c r="E19" s="20"/>
      <c r="F19" s="20"/>
      <c r="G19" s="20">
        <f>ROUND(SUM(C19:F19)/2,0)</f>
        <v>6776</v>
      </c>
      <c r="H19" s="20"/>
      <c r="I19" s="20">
        <v>0</v>
      </c>
      <c r="J19" s="20">
        <f t="shared" si="3"/>
        <v>0</v>
      </c>
      <c r="K19" s="20">
        <f t="shared" si="3"/>
        <v>6776</v>
      </c>
      <c r="L19" s="20"/>
      <c r="M19" s="20"/>
      <c r="N19" s="20">
        <v>0</v>
      </c>
      <c r="O19" s="25">
        <v>7166.25</v>
      </c>
      <c r="P19" s="20"/>
      <c r="Q19" s="20"/>
      <c r="R19" s="20">
        <v>0</v>
      </c>
      <c r="S19" s="25">
        <v>6385.4</v>
      </c>
    </row>
    <row r="20" spans="1:19" ht="15">
      <c r="A20" s="22">
        <f t="shared" si="0"/>
        <v>6</v>
      </c>
      <c r="B20" s="19" t="s">
        <v>644</v>
      </c>
      <c r="C20" s="20">
        <f t="shared" si="1"/>
        <v>-993.81</v>
      </c>
      <c r="D20" s="20">
        <f t="shared" si="2"/>
        <v>-1578.13</v>
      </c>
      <c r="E20" s="20"/>
      <c r="F20" s="20"/>
      <c r="G20" s="20">
        <f>ROUND(SUM(C20:F20)/2,0)</f>
        <v>-1286</v>
      </c>
      <c r="H20" s="20"/>
      <c r="I20" s="20">
        <v>0</v>
      </c>
      <c r="J20" s="20">
        <f t="shared" si="3"/>
        <v>-508</v>
      </c>
      <c r="K20" s="20">
        <f t="shared" si="3"/>
        <v>-778</v>
      </c>
      <c r="L20" s="20"/>
      <c r="M20" s="20"/>
      <c r="N20" s="20">
        <v>-423.5</v>
      </c>
      <c r="O20" s="20">
        <v>-570.31</v>
      </c>
      <c r="P20" s="20"/>
      <c r="Q20" s="20"/>
      <c r="R20" s="20">
        <v>-592.79</v>
      </c>
      <c r="S20" s="20">
        <v>-985.34</v>
      </c>
    </row>
    <row r="21" spans="1:19" ht="15">
      <c r="A21" s="22">
        <f t="shared" si="0"/>
        <v>7</v>
      </c>
      <c r="B21" s="19" t="s">
        <v>48</v>
      </c>
      <c r="C21" s="20">
        <f t="shared" si="1"/>
        <v>899903.8700000001</v>
      </c>
      <c r="D21" s="20">
        <f t="shared" si="2"/>
        <v>1020776.72</v>
      </c>
      <c r="E21" s="20"/>
      <c r="F21" s="20"/>
      <c r="G21" s="20">
        <f aca="true" t="shared" si="4" ref="G21:G28">ROUND(SUM(C21:F21)/2,0)</f>
        <v>960340</v>
      </c>
      <c r="H21" s="20"/>
      <c r="I21" s="20">
        <f>(+M21+Q21)/2</f>
        <v>0</v>
      </c>
      <c r="J21" s="20">
        <f t="shared" si="3"/>
        <v>181054</v>
      </c>
      <c r="K21" s="20">
        <f t="shared" si="3"/>
        <v>779286</v>
      </c>
      <c r="L21" s="20"/>
      <c r="M21" s="20"/>
      <c r="N21" s="20">
        <f>219385.75-120412</f>
        <v>98973.75</v>
      </c>
      <c r="O21" s="25">
        <f>1312162.12-511232</f>
        <v>800930.1200000001</v>
      </c>
      <c r="P21" s="20"/>
      <c r="Q21" s="20"/>
      <c r="R21" s="20">
        <f>399888.8-136754</f>
        <v>263134.8</v>
      </c>
      <c r="S21" s="25">
        <f>1312633.92-554992</f>
        <v>757641.9199999999</v>
      </c>
    </row>
    <row r="22" spans="1:19" ht="15">
      <c r="A22" s="22">
        <f t="shared" si="0"/>
        <v>8</v>
      </c>
      <c r="B22" s="10" t="s">
        <v>50</v>
      </c>
      <c r="C22" s="20">
        <f t="shared" si="1"/>
        <v>259477.07</v>
      </c>
      <c r="D22" s="20">
        <f t="shared" si="2"/>
        <v>260938.99</v>
      </c>
      <c r="E22" s="20"/>
      <c r="F22" s="20"/>
      <c r="G22" s="20">
        <f t="shared" si="4"/>
        <v>260208</v>
      </c>
      <c r="H22" s="20"/>
      <c r="I22" s="20">
        <f>(+M22+Q22)/2</f>
        <v>0</v>
      </c>
      <c r="J22" s="20">
        <f t="shared" si="3"/>
        <v>65595</v>
      </c>
      <c r="K22" s="20">
        <f t="shared" si="3"/>
        <v>194613</v>
      </c>
      <c r="L22" s="20"/>
      <c r="M22" s="20"/>
      <c r="N22" s="25">
        <f>84898.64-23747</f>
        <v>61151.64</v>
      </c>
      <c r="O22" s="25">
        <f>291289.43-92964</f>
        <v>198325.43</v>
      </c>
      <c r="P22" s="20"/>
      <c r="Q22" s="20"/>
      <c r="R22" s="25">
        <f>96816.25-26778</f>
        <v>70038.25</v>
      </c>
      <c r="S22" s="25">
        <f>293682.74-102782</f>
        <v>190900.74</v>
      </c>
    </row>
    <row r="23" spans="1:19" ht="15">
      <c r="A23" s="22">
        <f t="shared" si="0"/>
        <v>9</v>
      </c>
      <c r="B23" s="10" t="s">
        <v>56</v>
      </c>
      <c r="C23" s="20">
        <f t="shared" si="1"/>
        <v>497.40000000000003</v>
      </c>
      <c r="D23" s="20">
        <f t="shared" si="2"/>
        <v>1.2699999999999996</v>
      </c>
      <c r="E23" s="20"/>
      <c r="F23" s="20"/>
      <c r="G23" s="20">
        <f t="shared" si="4"/>
        <v>249</v>
      </c>
      <c r="H23" s="20"/>
      <c r="I23" s="20">
        <f>(+M23+Q23)/2</f>
        <v>0</v>
      </c>
      <c r="J23" s="20">
        <f t="shared" si="3"/>
        <v>62</v>
      </c>
      <c r="K23" s="20">
        <f t="shared" si="3"/>
        <v>187</v>
      </c>
      <c r="L23" s="20"/>
      <c r="M23" s="20"/>
      <c r="N23" s="20">
        <v>119.05</v>
      </c>
      <c r="O23" s="20">
        <v>378.35</v>
      </c>
      <c r="P23" s="20"/>
      <c r="Q23" s="20"/>
      <c r="R23" s="20">
        <v>5.47</v>
      </c>
      <c r="S23" s="20">
        <v>-4.2</v>
      </c>
    </row>
    <row r="24" spans="1:19" ht="15">
      <c r="A24" s="22">
        <f t="shared" si="0"/>
        <v>10</v>
      </c>
      <c r="B24" s="19" t="s">
        <v>645</v>
      </c>
      <c r="C24" s="20">
        <f t="shared" si="1"/>
        <v>209250.5</v>
      </c>
      <c r="D24" s="20">
        <f t="shared" si="2"/>
        <v>217541.44999999998</v>
      </c>
      <c r="E24" s="20"/>
      <c r="F24" s="20"/>
      <c r="G24" s="20">
        <f t="shared" si="4"/>
        <v>213396</v>
      </c>
      <c r="H24" s="20"/>
      <c r="I24" s="20">
        <v>0</v>
      </c>
      <c r="J24" s="20">
        <f t="shared" si="3"/>
        <v>27176</v>
      </c>
      <c r="K24" s="20">
        <f t="shared" si="3"/>
        <v>186220</v>
      </c>
      <c r="L24" s="20"/>
      <c r="M24" s="20"/>
      <c r="N24" s="20">
        <f>29099.7-1491</f>
        <v>27608.7</v>
      </c>
      <c r="O24" s="20">
        <f>243294.8-61653</f>
        <v>181641.8</v>
      </c>
      <c r="P24" s="20"/>
      <c r="Q24" s="20"/>
      <c r="R24" s="20">
        <f>29208.9-2465</f>
        <v>26743.9</v>
      </c>
      <c r="S24" s="20">
        <f>261468.55-70671</f>
        <v>190797.55</v>
      </c>
    </row>
    <row r="25" spans="1:19" ht="15">
      <c r="A25" s="22">
        <f t="shared" si="0"/>
        <v>11</v>
      </c>
      <c r="B25" s="19" t="s">
        <v>62</v>
      </c>
      <c r="C25" s="20">
        <f t="shared" si="1"/>
        <v>43562.09</v>
      </c>
      <c r="D25" s="20">
        <f t="shared" si="2"/>
        <v>38281.81</v>
      </c>
      <c r="E25" s="20"/>
      <c r="F25" s="20"/>
      <c r="G25" s="20">
        <f t="shared" si="4"/>
        <v>40922</v>
      </c>
      <c r="H25" s="20"/>
      <c r="I25" s="20">
        <v>0</v>
      </c>
      <c r="J25" s="20">
        <f t="shared" si="3"/>
        <v>0</v>
      </c>
      <c r="K25" s="20">
        <f t="shared" si="3"/>
        <v>40922</v>
      </c>
      <c r="L25" s="20"/>
      <c r="M25" s="20"/>
      <c r="N25" s="20">
        <v>0</v>
      </c>
      <c r="O25" s="20">
        <v>43562.09</v>
      </c>
      <c r="P25" s="20"/>
      <c r="Q25" s="20"/>
      <c r="R25" s="20">
        <v>0</v>
      </c>
      <c r="S25" s="20">
        <v>38281.81</v>
      </c>
    </row>
    <row r="26" spans="1:19" ht="15">
      <c r="A26" s="22">
        <f t="shared" si="0"/>
        <v>12</v>
      </c>
      <c r="B26" s="19" t="s">
        <v>65</v>
      </c>
      <c r="C26" s="20">
        <f>SUM(M26:O26)</f>
        <v>2074.8</v>
      </c>
      <c r="D26" s="20">
        <f>SUM(Q26:S26)</f>
        <v>2074.8</v>
      </c>
      <c r="E26" s="20"/>
      <c r="F26" s="20"/>
      <c r="G26" s="20">
        <f>ROUND(SUM(C26:F26)/2,0)</f>
        <v>2075</v>
      </c>
      <c r="H26" s="20"/>
      <c r="I26" s="20">
        <v>0</v>
      </c>
      <c r="J26" s="20">
        <f t="shared" si="3"/>
        <v>0</v>
      </c>
      <c r="K26" s="20">
        <f t="shared" si="3"/>
        <v>2075</v>
      </c>
      <c r="L26" s="20"/>
      <c r="M26" s="20"/>
      <c r="N26" s="20">
        <v>0</v>
      </c>
      <c r="O26" s="20">
        <v>2074.8</v>
      </c>
      <c r="P26" s="20"/>
      <c r="Q26" s="20"/>
      <c r="R26" s="20">
        <v>0</v>
      </c>
      <c r="S26" s="20">
        <v>2074.8</v>
      </c>
    </row>
    <row r="27" spans="1:19" ht="15">
      <c r="A27" s="22">
        <f t="shared" si="0"/>
        <v>13</v>
      </c>
      <c r="B27" s="10" t="s">
        <v>73</v>
      </c>
      <c r="C27" s="20">
        <f>-388827.13+4317635</f>
        <v>3928807.87</v>
      </c>
      <c r="D27" s="20">
        <v>4053479.9</v>
      </c>
      <c r="E27" s="20">
        <f>-C27</f>
        <v>-3928807.87</v>
      </c>
      <c r="F27" s="20">
        <f>-D27</f>
        <v>-4053479.9</v>
      </c>
      <c r="G27" s="20">
        <f t="shared" si="4"/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">
      <c r="A28" s="22">
        <f t="shared" si="0"/>
        <v>14</v>
      </c>
      <c r="B28" s="10" t="s">
        <v>74</v>
      </c>
      <c r="C28" s="20">
        <f>-631-331</f>
        <v>-962</v>
      </c>
      <c r="D28" s="20">
        <v>1354</v>
      </c>
      <c r="E28" s="20">
        <f>-C28</f>
        <v>962</v>
      </c>
      <c r="F28" s="20">
        <f>-D28</f>
        <v>-1354</v>
      </c>
      <c r="G28" s="20">
        <f t="shared" si="4"/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22">
        <f t="shared" si="0"/>
        <v>15</v>
      </c>
      <c r="B29" s="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5.75" thickBot="1">
      <c r="A30" s="22">
        <f t="shared" si="0"/>
        <v>16</v>
      </c>
      <c r="B30" s="10" t="s">
        <v>75</v>
      </c>
      <c r="C30" s="23">
        <f>SUM(C17:C29)</f>
        <v>33650468.19</v>
      </c>
      <c r="D30" s="23">
        <f>SUM(D17:D29)</f>
        <v>40744755.61000001</v>
      </c>
      <c r="E30" s="23">
        <f>SUM(E17:E29)</f>
        <v>-3927845.87</v>
      </c>
      <c r="F30" s="23">
        <f>SUM(F17:F29)</f>
        <v>-4054833.9</v>
      </c>
      <c r="G30" s="23">
        <f>SUM(G17:G29)</f>
        <v>33206271</v>
      </c>
      <c r="H30" s="23"/>
      <c r="I30" s="23">
        <f>SUM(I17:I29)</f>
        <v>0</v>
      </c>
      <c r="J30" s="23">
        <f>SUM(J17:J29)</f>
        <v>17399991</v>
      </c>
      <c r="K30" s="23">
        <f>SUM(K17:K29)</f>
        <v>15806280</v>
      </c>
      <c r="L30" s="23"/>
      <c r="M30" s="23">
        <f>SUM(M17:M29)</f>
        <v>0</v>
      </c>
      <c r="N30" s="23">
        <f>SUM(N17:N29)</f>
        <v>14920720.440000001</v>
      </c>
      <c r="O30" s="23">
        <f>SUM(O17:O29)</f>
        <v>14801901.88</v>
      </c>
      <c r="P30" s="20"/>
      <c r="Q30" s="23">
        <f>SUM(Q17:Q29)</f>
        <v>0</v>
      </c>
      <c r="R30" s="23">
        <f>SUM(R17:R29)</f>
        <v>19879263.98</v>
      </c>
      <c r="S30" s="23">
        <f>SUM(S17:S29)</f>
        <v>16810657.73</v>
      </c>
    </row>
    <row r="31" spans="1:19" ht="15.75" thickTop="1">
      <c r="A31" s="22">
        <f t="shared" si="0"/>
        <v>17</v>
      </c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0"/>
      <c r="Q31" s="24"/>
      <c r="R31" s="24"/>
      <c r="S31" s="24"/>
    </row>
    <row r="32" spans="1:19" ht="15">
      <c r="A32" s="22">
        <f t="shared" si="0"/>
        <v>18</v>
      </c>
      <c r="B32" s="1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">
      <c r="A33" s="22">
        <f t="shared" si="0"/>
        <v>19</v>
      </c>
      <c r="B33" s="19" t="s">
        <v>76</v>
      </c>
      <c r="C33" s="20" t="s">
        <v>77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">
      <c r="A34" s="22">
        <f t="shared" si="0"/>
        <v>20</v>
      </c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>
      <c r="A35" s="22">
        <f t="shared" si="0"/>
        <v>21</v>
      </c>
      <c r="B35" s="19" t="s">
        <v>88</v>
      </c>
      <c r="C35" s="20">
        <f aca="true" t="shared" si="5" ref="C35:C47">SUM(M35:O35)</f>
        <v>2426447.83</v>
      </c>
      <c r="D35" s="20">
        <f aca="true" t="shared" si="6" ref="D35:D47">SUM(Q35:S35)</f>
        <v>2319876.42</v>
      </c>
      <c r="E35" s="20"/>
      <c r="F35" s="20"/>
      <c r="G35" s="20">
        <f aca="true" t="shared" si="7" ref="G35:G49">ROUND(SUM(C35:F35)/2,0)</f>
        <v>2373162</v>
      </c>
      <c r="H35" s="20"/>
      <c r="I35" s="20">
        <f aca="true" t="shared" si="8" ref="I35:I47">(+M35+Q35)/2</f>
        <v>0</v>
      </c>
      <c r="J35" s="20">
        <f>ROUND((+N35+R35)/2,0)</f>
        <v>285875</v>
      </c>
      <c r="K35" s="20">
        <f>ROUND((+O35+S35)/2,0)</f>
        <v>2087288</v>
      </c>
      <c r="L35" s="20"/>
      <c r="M35" s="20"/>
      <c r="N35" s="25">
        <v>286311.34</v>
      </c>
      <c r="O35" s="25">
        <v>2140136.49</v>
      </c>
      <c r="P35" s="20"/>
      <c r="Q35" s="20"/>
      <c r="R35" s="25">
        <v>285437.74</v>
      </c>
      <c r="S35" s="25">
        <v>2034438.68</v>
      </c>
    </row>
    <row r="36" spans="1:19" ht="15">
      <c r="A36" s="22">
        <f t="shared" si="0"/>
        <v>22</v>
      </c>
      <c r="B36" s="19" t="s">
        <v>89</v>
      </c>
      <c r="C36" s="20">
        <f t="shared" si="5"/>
        <v>-3280555.25</v>
      </c>
      <c r="D36" s="20">
        <f t="shared" si="6"/>
        <v>-2701699.35</v>
      </c>
      <c r="E36" s="20"/>
      <c r="F36" s="20"/>
      <c r="G36" s="20">
        <f>ROUND(SUM(C36:F36)/2,0)</f>
        <v>-2991127</v>
      </c>
      <c r="H36" s="20"/>
      <c r="I36" s="20">
        <f>(+M36+Q36)/2</f>
        <v>0</v>
      </c>
      <c r="J36" s="20">
        <f aca="true" t="shared" si="9" ref="J36:K47">ROUND((+N36+R36)/2,0)</f>
        <v>-244164</v>
      </c>
      <c r="K36" s="20">
        <f t="shared" si="9"/>
        <v>-2746964</v>
      </c>
      <c r="L36" s="20"/>
      <c r="M36" s="20"/>
      <c r="N36" s="20">
        <v>-252018.9</v>
      </c>
      <c r="O36" s="20">
        <v>-3028536.35</v>
      </c>
      <c r="P36" s="20"/>
      <c r="Q36" s="20"/>
      <c r="R36" s="20">
        <v>-236308.45</v>
      </c>
      <c r="S36" s="20">
        <v>-2465390.9</v>
      </c>
    </row>
    <row r="37" spans="1:19" ht="15">
      <c r="A37" s="22">
        <f t="shared" si="0"/>
        <v>23</v>
      </c>
      <c r="B37" s="10" t="s">
        <v>448</v>
      </c>
      <c r="C37" s="20">
        <f t="shared" si="5"/>
        <v>0</v>
      </c>
      <c r="D37" s="20">
        <f t="shared" si="6"/>
        <v>0</v>
      </c>
      <c r="E37" s="20"/>
      <c r="F37" s="20"/>
      <c r="G37" s="20">
        <f t="shared" si="7"/>
        <v>0</v>
      </c>
      <c r="H37" s="20"/>
      <c r="I37" s="20">
        <f t="shared" si="8"/>
        <v>0</v>
      </c>
      <c r="J37" s="20">
        <f t="shared" si="9"/>
        <v>0</v>
      </c>
      <c r="K37" s="20">
        <f t="shared" si="9"/>
        <v>0</v>
      </c>
      <c r="L37" s="20"/>
      <c r="M37" s="20"/>
      <c r="N37" s="20">
        <v>0</v>
      </c>
      <c r="O37" s="20">
        <v>0</v>
      </c>
      <c r="P37" s="20"/>
      <c r="Q37" s="20"/>
      <c r="R37" s="20">
        <v>0</v>
      </c>
      <c r="S37" s="20">
        <v>0</v>
      </c>
    </row>
    <row r="38" spans="1:19" ht="15">
      <c r="A38" s="22">
        <f t="shared" si="0"/>
        <v>24</v>
      </c>
      <c r="B38" s="26" t="s">
        <v>433</v>
      </c>
      <c r="C38" s="20">
        <f>SUM(M38:O38)</f>
        <v>1077186.6</v>
      </c>
      <c r="D38" s="20">
        <f>SUM(Q38:S38)</f>
        <v>1171456.4</v>
      </c>
      <c r="E38" s="20"/>
      <c r="F38" s="20"/>
      <c r="G38" s="20">
        <f>ROUND(SUM(C38:F38)/2,0)</f>
        <v>1124322</v>
      </c>
      <c r="H38" s="20"/>
      <c r="I38" s="20">
        <f>(+M38+Q38)/2</f>
        <v>0</v>
      </c>
      <c r="J38" s="20">
        <f t="shared" si="9"/>
        <v>0</v>
      </c>
      <c r="K38" s="20">
        <f t="shared" si="9"/>
        <v>1124322</v>
      </c>
      <c r="L38" s="20"/>
      <c r="M38" s="20"/>
      <c r="N38" s="20">
        <v>0</v>
      </c>
      <c r="O38" s="20">
        <v>1077186.6</v>
      </c>
      <c r="P38" s="20"/>
      <c r="Q38" s="20"/>
      <c r="R38" s="20">
        <v>0</v>
      </c>
      <c r="S38" s="20">
        <v>1171456.4</v>
      </c>
    </row>
    <row r="39" spans="1:19" ht="15">
      <c r="A39" s="22">
        <f t="shared" si="0"/>
        <v>25</v>
      </c>
      <c r="B39" s="19" t="s">
        <v>646</v>
      </c>
      <c r="C39" s="20">
        <f t="shared" si="5"/>
        <v>0</v>
      </c>
      <c r="D39" s="20">
        <f t="shared" si="6"/>
        <v>0</v>
      </c>
      <c r="E39" s="20"/>
      <c r="F39" s="20"/>
      <c r="G39" s="20">
        <f t="shared" si="7"/>
        <v>0</v>
      </c>
      <c r="H39" s="20"/>
      <c r="I39" s="20">
        <f>(+M39+Q39)/2</f>
        <v>0</v>
      </c>
      <c r="J39" s="20">
        <f t="shared" si="9"/>
        <v>0</v>
      </c>
      <c r="K39" s="20">
        <f t="shared" si="9"/>
        <v>0</v>
      </c>
      <c r="L39" s="20"/>
      <c r="M39" s="20"/>
      <c r="N39" s="20">
        <v>0</v>
      </c>
      <c r="O39" s="20">
        <v>0</v>
      </c>
      <c r="P39" s="20"/>
      <c r="Q39" s="20"/>
      <c r="R39" s="20">
        <v>0</v>
      </c>
      <c r="S39" s="20">
        <v>0</v>
      </c>
    </row>
    <row r="40" spans="1:19" ht="15">
      <c r="A40" s="22">
        <f t="shared" si="0"/>
        <v>26</v>
      </c>
      <c r="B40" s="19" t="s">
        <v>647</v>
      </c>
      <c r="C40" s="20">
        <f t="shared" si="5"/>
        <v>3280555.25</v>
      </c>
      <c r="D40" s="20">
        <f t="shared" si="6"/>
        <v>2701699.35</v>
      </c>
      <c r="E40" s="20"/>
      <c r="F40" s="20"/>
      <c r="G40" s="20">
        <f t="shared" si="7"/>
        <v>2991127</v>
      </c>
      <c r="H40" s="20"/>
      <c r="I40" s="20">
        <f>(+M40+Q40)/2</f>
        <v>0</v>
      </c>
      <c r="J40" s="20">
        <f t="shared" si="9"/>
        <v>244164</v>
      </c>
      <c r="K40" s="20">
        <f t="shared" si="9"/>
        <v>2746964</v>
      </c>
      <c r="L40" s="20"/>
      <c r="M40" s="20"/>
      <c r="N40" s="25">
        <v>252018.9</v>
      </c>
      <c r="O40" s="20">
        <v>3028536.35</v>
      </c>
      <c r="P40" s="20"/>
      <c r="Q40" s="20"/>
      <c r="R40" s="25">
        <v>236308.45</v>
      </c>
      <c r="S40" s="20">
        <v>2465390.9</v>
      </c>
    </row>
    <row r="41" spans="1:19" ht="15">
      <c r="A41" s="22">
        <f t="shared" si="0"/>
        <v>27</v>
      </c>
      <c r="B41" s="19" t="s">
        <v>110</v>
      </c>
      <c r="C41" s="20">
        <f>SUM(M41:O41)</f>
        <v>172972.54</v>
      </c>
      <c r="D41" s="20">
        <f>SUM(Q41:S41)</f>
        <v>140025.39</v>
      </c>
      <c r="E41" s="20"/>
      <c r="F41" s="20"/>
      <c r="G41" s="20">
        <f>ROUND(SUM(C41:F41)/2,0)</f>
        <v>156499</v>
      </c>
      <c r="H41" s="20"/>
      <c r="I41" s="20">
        <f>(+M41+Q41)/2</f>
        <v>0</v>
      </c>
      <c r="J41" s="20">
        <f t="shared" si="9"/>
        <v>0</v>
      </c>
      <c r="K41" s="20">
        <f t="shared" si="9"/>
        <v>156499</v>
      </c>
      <c r="L41" s="20"/>
      <c r="M41" s="20"/>
      <c r="N41" s="25">
        <v>0</v>
      </c>
      <c r="O41" s="20">
        <v>172972.54</v>
      </c>
      <c r="P41" s="20"/>
      <c r="Q41" s="20"/>
      <c r="R41" s="25">
        <v>0</v>
      </c>
      <c r="S41" s="20">
        <v>140025.39</v>
      </c>
    </row>
    <row r="42" spans="1:19" ht="15">
      <c r="A42" s="22">
        <f t="shared" si="0"/>
        <v>28</v>
      </c>
      <c r="B42" s="19" t="s">
        <v>648</v>
      </c>
      <c r="C42" s="20">
        <f t="shared" si="5"/>
        <v>64746.72</v>
      </c>
      <c r="D42" s="20">
        <f t="shared" si="6"/>
        <v>63478.67</v>
      </c>
      <c r="E42" s="20"/>
      <c r="F42" s="20"/>
      <c r="G42" s="20">
        <f t="shared" si="7"/>
        <v>64113</v>
      </c>
      <c r="H42" s="20"/>
      <c r="I42" s="20">
        <f>(+M42+Q42)/2</f>
        <v>0</v>
      </c>
      <c r="J42" s="20">
        <f t="shared" si="9"/>
        <v>0</v>
      </c>
      <c r="K42" s="20">
        <f t="shared" si="9"/>
        <v>64113</v>
      </c>
      <c r="L42" s="20"/>
      <c r="M42" s="20"/>
      <c r="N42" s="20">
        <v>0</v>
      </c>
      <c r="O42" s="20">
        <v>64746.72</v>
      </c>
      <c r="P42" s="20"/>
      <c r="Q42" s="20"/>
      <c r="R42" s="20">
        <v>0</v>
      </c>
      <c r="S42" s="20">
        <v>63478.67</v>
      </c>
    </row>
    <row r="43" spans="1:19" ht="15">
      <c r="A43" s="22">
        <f t="shared" si="0"/>
        <v>29</v>
      </c>
      <c r="B43" s="10" t="s">
        <v>312</v>
      </c>
      <c r="C43" s="20">
        <f t="shared" si="5"/>
        <v>95706.68</v>
      </c>
      <c r="D43" s="20">
        <f t="shared" si="6"/>
        <v>53125.68</v>
      </c>
      <c r="E43" s="20"/>
      <c r="F43" s="20"/>
      <c r="G43" s="20">
        <f t="shared" si="7"/>
        <v>74416</v>
      </c>
      <c r="H43" s="20"/>
      <c r="I43" s="20">
        <f t="shared" si="8"/>
        <v>0</v>
      </c>
      <c r="J43" s="20">
        <f t="shared" si="9"/>
        <v>30325</v>
      </c>
      <c r="K43" s="20">
        <f t="shared" si="9"/>
        <v>44091</v>
      </c>
      <c r="L43" s="20"/>
      <c r="M43" s="20"/>
      <c r="N43" s="20">
        <v>33683.28</v>
      </c>
      <c r="O43" s="20">
        <v>62023.4</v>
      </c>
      <c r="P43" s="20"/>
      <c r="Q43" s="20"/>
      <c r="R43" s="20">
        <v>26966.78</v>
      </c>
      <c r="S43" s="20">
        <v>26158.9</v>
      </c>
    </row>
    <row r="44" spans="1:19" ht="15">
      <c r="A44" s="22">
        <f t="shared" si="0"/>
        <v>30</v>
      </c>
      <c r="B44" s="10" t="s">
        <v>322</v>
      </c>
      <c r="C44" s="20">
        <f t="shared" si="5"/>
        <v>1244</v>
      </c>
      <c r="D44" s="20">
        <f t="shared" si="6"/>
        <v>1244</v>
      </c>
      <c r="E44" s="20"/>
      <c r="F44" s="20"/>
      <c r="G44" s="20">
        <f t="shared" si="7"/>
        <v>1244</v>
      </c>
      <c r="H44" s="20"/>
      <c r="I44" s="20">
        <f t="shared" si="8"/>
        <v>0</v>
      </c>
      <c r="J44" s="20">
        <f t="shared" si="9"/>
        <v>1244</v>
      </c>
      <c r="K44" s="20">
        <f t="shared" si="9"/>
        <v>0</v>
      </c>
      <c r="L44" s="20"/>
      <c r="M44" s="20"/>
      <c r="N44" s="20">
        <v>1244</v>
      </c>
      <c r="O44" s="20">
        <v>0</v>
      </c>
      <c r="P44" s="20"/>
      <c r="Q44" s="20"/>
      <c r="R44" s="20">
        <v>1244</v>
      </c>
      <c r="S44" s="20">
        <v>0</v>
      </c>
    </row>
    <row r="45" spans="1:19" ht="15">
      <c r="A45" s="22">
        <f t="shared" si="0"/>
        <v>31</v>
      </c>
      <c r="B45" s="10" t="s">
        <v>127</v>
      </c>
      <c r="C45" s="20">
        <f t="shared" si="5"/>
        <v>-0.25</v>
      </c>
      <c r="D45" s="20">
        <f t="shared" si="6"/>
        <v>-0.25</v>
      </c>
      <c r="E45" s="20"/>
      <c r="F45" s="20"/>
      <c r="G45" s="20">
        <f t="shared" si="7"/>
        <v>0</v>
      </c>
      <c r="H45" s="20"/>
      <c r="I45" s="20">
        <f t="shared" si="8"/>
        <v>0</v>
      </c>
      <c r="J45" s="20">
        <f t="shared" si="9"/>
        <v>0</v>
      </c>
      <c r="K45" s="20">
        <f t="shared" si="9"/>
        <v>0</v>
      </c>
      <c r="L45" s="20"/>
      <c r="M45" s="20"/>
      <c r="N45" s="20">
        <v>0</v>
      </c>
      <c r="O45" s="20">
        <v>-0.25</v>
      </c>
      <c r="P45" s="20"/>
      <c r="Q45" s="20"/>
      <c r="R45" s="20">
        <v>0</v>
      </c>
      <c r="S45" s="20">
        <v>-0.25</v>
      </c>
    </row>
    <row r="46" spans="1:19" ht="15">
      <c r="A46" s="22">
        <f t="shared" si="0"/>
        <v>32</v>
      </c>
      <c r="B46" s="10" t="s">
        <v>720</v>
      </c>
      <c r="C46" s="20">
        <f>SUM(M46:O46)</f>
        <v>0</v>
      </c>
      <c r="D46" s="20">
        <f>SUM(Q46:S46)</f>
        <v>149139.37</v>
      </c>
      <c r="E46" s="20"/>
      <c r="F46" s="20"/>
      <c r="G46" s="20">
        <f>ROUND(SUM(C46:F46)/2,0)</f>
        <v>74570</v>
      </c>
      <c r="H46" s="20"/>
      <c r="I46" s="20">
        <f>(+M46+Q46)/2</f>
        <v>0</v>
      </c>
      <c r="J46" s="20">
        <f>ROUND((+N46+R46)/2,0)</f>
        <v>4103</v>
      </c>
      <c r="K46" s="20">
        <f>ROUND((+O46+S46)/2,0)</f>
        <v>70467</v>
      </c>
      <c r="L46" s="20"/>
      <c r="M46" s="20"/>
      <c r="N46" s="20">
        <v>0</v>
      </c>
      <c r="O46" s="20">
        <v>0</v>
      </c>
      <c r="P46" s="20"/>
      <c r="Q46" s="20"/>
      <c r="R46" s="20">
        <v>8205.72</v>
      </c>
      <c r="S46" s="20">
        <v>140933.65</v>
      </c>
    </row>
    <row r="47" spans="1:19" ht="15">
      <c r="A47" s="22">
        <f t="shared" si="0"/>
        <v>33</v>
      </c>
      <c r="B47" s="10" t="s">
        <v>128</v>
      </c>
      <c r="C47" s="20">
        <f t="shared" si="5"/>
        <v>24163.9</v>
      </c>
      <c r="D47" s="20">
        <f t="shared" si="6"/>
        <v>44488.2</v>
      </c>
      <c r="E47" s="20"/>
      <c r="F47" s="20"/>
      <c r="G47" s="20">
        <f t="shared" si="7"/>
        <v>34326</v>
      </c>
      <c r="H47" s="20"/>
      <c r="I47" s="20">
        <f t="shared" si="8"/>
        <v>0</v>
      </c>
      <c r="J47" s="20">
        <f t="shared" si="9"/>
        <v>0</v>
      </c>
      <c r="K47" s="20">
        <f t="shared" si="9"/>
        <v>34326</v>
      </c>
      <c r="L47" s="20"/>
      <c r="M47" s="20"/>
      <c r="N47" s="20">
        <v>0</v>
      </c>
      <c r="O47" s="20">
        <v>24163.9</v>
      </c>
      <c r="P47" s="20"/>
      <c r="Q47" s="20"/>
      <c r="R47" s="20">
        <v>0</v>
      </c>
      <c r="S47" s="20">
        <v>44488.2</v>
      </c>
    </row>
    <row r="48" spans="1:19" ht="15">
      <c r="A48" s="22">
        <f t="shared" si="0"/>
        <v>34</v>
      </c>
      <c r="B48" s="9" t="s">
        <v>130</v>
      </c>
      <c r="C48" s="20">
        <f>1193922.52+5387144.93</f>
        <v>6581067.449999999</v>
      </c>
      <c r="D48" s="20">
        <v>5808304.75</v>
      </c>
      <c r="E48" s="20">
        <f>-C48</f>
        <v>-6581067.449999999</v>
      </c>
      <c r="F48" s="20">
        <f>-D48</f>
        <v>-5808304.75</v>
      </c>
      <c r="G48" s="20">
        <f>ROUND(SUM(C48:F48)/2,0)</f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5">
      <c r="A49" s="22">
        <f t="shared" si="0"/>
        <v>35</v>
      </c>
      <c r="B49" s="10" t="s">
        <v>134</v>
      </c>
      <c r="C49" s="20">
        <v>489</v>
      </c>
      <c r="D49" s="20">
        <v>1888.91</v>
      </c>
      <c r="E49" s="20">
        <f>-C49</f>
        <v>-489</v>
      </c>
      <c r="F49" s="20">
        <f>-D49</f>
        <v>-1888.91</v>
      </c>
      <c r="G49" s="20">
        <f t="shared" si="7"/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5.75" thickBot="1">
      <c r="A50" s="22">
        <f t="shared" si="0"/>
        <v>36</v>
      </c>
      <c r="B50" s="9"/>
      <c r="C50" s="23">
        <f>SUM(C35:C49)</f>
        <v>10444024.469999999</v>
      </c>
      <c r="D50" s="23">
        <f>SUM(D35:D49)</f>
        <v>9753027.540000001</v>
      </c>
      <c r="E50" s="23">
        <f>SUM(E35:E49)</f>
        <v>-6581556.449999999</v>
      </c>
      <c r="F50" s="23">
        <f>SUM(F35:F49)</f>
        <v>-5810193.66</v>
      </c>
      <c r="G50" s="23">
        <f>SUM(G35:G49)</f>
        <v>3902652</v>
      </c>
      <c r="H50" s="23"/>
      <c r="I50" s="23">
        <f>SUM(I35:I49)</f>
        <v>0</v>
      </c>
      <c r="J50" s="23">
        <f>SUM(J35:J49)</f>
        <v>321547</v>
      </c>
      <c r="K50" s="23">
        <f>SUM(K35:K49)</f>
        <v>3581106</v>
      </c>
      <c r="L50" s="23"/>
      <c r="M50" s="23">
        <f>SUM(M35:M49)</f>
        <v>0</v>
      </c>
      <c r="N50" s="23">
        <f>SUM(N35:N49)</f>
        <v>321238.62</v>
      </c>
      <c r="O50" s="23">
        <f>SUM(O35:O49)</f>
        <v>3541229.4000000004</v>
      </c>
      <c r="P50" s="20"/>
      <c r="Q50" s="23">
        <f>SUM(Q35:Q49)</f>
        <v>0</v>
      </c>
      <c r="R50" s="23">
        <f>SUM(R35:R49)</f>
        <v>321854.24</v>
      </c>
      <c r="S50" s="23">
        <f>SUM(S35:S49)</f>
        <v>3620979.64</v>
      </c>
    </row>
    <row r="51" spans="1:19" ht="15.75" thickTop="1">
      <c r="A51" s="22">
        <f t="shared" si="0"/>
        <v>37</v>
      </c>
      <c r="B51" s="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0"/>
      <c r="Q51" s="24"/>
      <c r="R51" s="24"/>
      <c r="S51" s="24"/>
    </row>
    <row r="52" spans="1:19" ht="15">
      <c r="A52" s="22">
        <f t="shared" si="0"/>
        <v>38</v>
      </c>
      <c r="B52" s="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5">
      <c r="A53" s="22">
        <f t="shared" si="0"/>
        <v>39</v>
      </c>
      <c r="B53" s="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5">
      <c r="A54" s="22">
        <f t="shared" si="0"/>
        <v>40</v>
      </c>
      <c r="B54" s="9" t="s">
        <v>136</v>
      </c>
      <c r="C54" s="20">
        <f>3174547+5181084</f>
        <v>8355631</v>
      </c>
      <c r="D54" s="20">
        <v>8860758</v>
      </c>
      <c r="E54" s="20">
        <f>-C54</f>
        <v>-8355631</v>
      </c>
      <c r="F54" s="20">
        <f>-D54</f>
        <v>-8860758</v>
      </c>
      <c r="G54" s="20">
        <f>ROUND(SUM(C54:F54)/2,0)</f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5">
      <c r="A55" s="22">
        <f t="shared" si="0"/>
        <v>41</v>
      </c>
      <c r="B55" s="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.75" thickBot="1">
      <c r="A56" s="22">
        <f t="shared" si="0"/>
        <v>42</v>
      </c>
      <c r="B56" s="10" t="s">
        <v>137</v>
      </c>
      <c r="C56" s="23">
        <f>SUM(C50+C54)</f>
        <v>18799655.47</v>
      </c>
      <c r="D56" s="23">
        <f>SUM(D50+D54)</f>
        <v>18613785.54</v>
      </c>
      <c r="E56" s="23">
        <f>SUM(E50+E54)</f>
        <v>-14937187.45</v>
      </c>
      <c r="F56" s="23">
        <f>SUM(F50+F54)</f>
        <v>-14670951.66</v>
      </c>
      <c r="G56" s="23">
        <f>SUM(G50+G54)</f>
        <v>3902652</v>
      </c>
      <c r="H56" s="23"/>
      <c r="I56" s="23">
        <f>SUM(I50+I54)</f>
        <v>0</v>
      </c>
      <c r="J56" s="23">
        <f>SUM(J50+J54)</f>
        <v>321547</v>
      </c>
      <c r="K56" s="23">
        <f>SUM(K50+K54)</f>
        <v>3581106</v>
      </c>
      <c r="L56" s="23"/>
      <c r="M56" s="23">
        <f>SUM(M54:M55)</f>
        <v>0</v>
      </c>
      <c r="N56" s="23">
        <f>SUM(N50+N54)</f>
        <v>321238.62</v>
      </c>
      <c r="O56" s="23">
        <f>SUM(O50+O54)</f>
        <v>3541229.4000000004</v>
      </c>
      <c r="P56" s="20"/>
      <c r="Q56" s="23">
        <f>SUM(Q54:Q55)</f>
        <v>0</v>
      </c>
      <c r="R56" s="23">
        <f>SUM(R50+R54)</f>
        <v>321854.24</v>
      </c>
      <c r="S56" s="23">
        <f>SUM(S50+S54)</f>
        <v>3620979.64</v>
      </c>
    </row>
    <row r="57" spans="1:19" ht="15.75" thickTop="1">
      <c r="A57" s="22">
        <f t="shared" si="0"/>
        <v>43</v>
      </c>
      <c r="B57" s="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0"/>
      <c r="Q57" s="24"/>
      <c r="R57" s="24"/>
      <c r="S57" s="24"/>
    </row>
    <row r="58" spans="1:19" ht="15">
      <c r="A58" s="22">
        <f t="shared" si="0"/>
        <v>44</v>
      </c>
      <c r="B58" s="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5">
      <c r="A59" s="22">
        <f t="shared" si="0"/>
        <v>45</v>
      </c>
      <c r="B59" s="10" t="s">
        <v>138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5">
      <c r="A60" s="22">
        <f t="shared" si="0"/>
        <v>46</v>
      </c>
      <c r="B60" s="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5">
      <c r="A61" s="22">
        <f t="shared" si="0"/>
        <v>47</v>
      </c>
      <c r="B61" s="10" t="s">
        <v>139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">
      <c r="A62" s="22">
        <f t="shared" si="0"/>
        <v>48</v>
      </c>
      <c r="B62" s="9"/>
      <c r="C62" s="20"/>
      <c r="D62" s="27"/>
      <c r="E62" s="27"/>
      <c r="F62" s="27"/>
      <c r="G62" s="27"/>
      <c r="H62" s="27"/>
      <c r="I62" s="27"/>
      <c r="J62" s="27"/>
      <c r="K62" s="27"/>
      <c r="L62" s="27"/>
      <c r="M62" s="20"/>
      <c r="N62" s="20"/>
      <c r="O62" s="20"/>
      <c r="P62" s="20"/>
      <c r="Q62" s="20"/>
      <c r="R62" s="20"/>
      <c r="S62" s="20"/>
    </row>
    <row r="63" spans="1:19" ht="15">
      <c r="A63" s="22">
        <f t="shared" si="0"/>
        <v>49</v>
      </c>
      <c r="B63" s="10" t="s">
        <v>140</v>
      </c>
      <c r="C63" s="20"/>
      <c r="D63" s="27"/>
      <c r="E63" s="27"/>
      <c r="F63" s="27"/>
      <c r="G63" s="27"/>
      <c r="H63" s="27"/>
      <c r="I63" s="27"/>
      <c r="J63" s="27"/>
      <c r="K63" s="27"/>
      <c r="L63" s="27"/>
      <c r="M63" s="20"/>
      <c r="N63" s="20"/>
      <c r="O63" s="20"/>
      <c r="P63" s="20"/>
      <c r="Q63" s="20"/>
      <c r="R63" s="20"/>
      <c r="S63" s="20"/>
    </row>
    <row r="64" spans="1:19" ht="15">
      <c r="A64" s="22">
        <f t="shared" si="0"/>
        <v>50</v>
      </c>
      <c r="B64" s="1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5.75" thickBot="1">
      <c r="A65" s="22">
        <f t="shared" si="0"/>
        <v>51</v>
      </c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5.75" thickTop="1">
      <c r="A66" s="22">
        <f t="shared" si="0"/>
        <v>52</v>
      </c>
      <c r="B66" s="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0"/>
      <c r="Q66" s="24"/>
      <c r="R66" s="24"/>
      <c r="S66" s="24"/>
    </row>
    <row r="67" spans="1:19" ht="15">
      <c r="A67" s="22">
        <f t="shared" si="0"/>
        <v>53</v>
      </c>
      <c r="B67" s="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5">
      <c r="A68" s="22">
        <f t="shared" si="0"/>
        <v>54</v>
      </c>
      <c r="B68" s="19" t="s">
        <v>141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5">
      <c r="A69" s="22">
        <f t="shared" si="0"/>
        <v>55</v>
      </c>
      <c r="B69" s="19" t="s">
        <v>142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5">
      <c r="A70" s="22">
        <f t="shared" si="0"/>
        <v>56</v>
      </c>
      <c r="B70" s="10" t="s">
        <v>329</v>
      </c>
      <c r="C70" s="20">
        <f>SUM(M70:O70)</f>
        <v>27057</v>
      </c>
      <c r="D70" s="20">
        <f>SUM(Q70:S70)</f>
        <v>10622</v>
      </c>
      <c r="E70" s="20"/>
      <c r="F70" s="20"/>
      <c r="G70" s="20">
        <f>ROUND(SUM(C70:F70)/2,0)</f>
        <v>18840</v>
      </c>
      <c r="H70" s="20"/>
      <c r="I70" s="20">
        <f>(+M70+Q70)/2</f>
        <v>0</v>
      </c>
      <c r="J70" s="20">
        <f>(+N70+R70)/2</f>
        <v>6201.5</v>
      </c>
      <c r="K70" s="20">
        <f>(+O70+S70)/2</f>
        <v>12638</v>
      </c>
      <c r="L70" s="20"/>
      <c r="M70" s="20">
        <v>0</v>
      </c>
      <c r="N70" s="20">
        <v>8892</v>
      </c>
      <c r="O70" s="20">
        <v>18165</v>
      </c>
      <c r="P70" s="20"/>
      <c r="Q70" s="20">
        <v>0</v>
      </c>
      <c r="R70" s="20">
        <v>3511</v>
      </c>
      <c r="S70" s="20">
        <v>7111</v>
      </c>
    </row>
    <row r="71" spans="1:19" ht="15">
      <c r="A71" s="22">
        <f t="shared" si="0"/>
        <v>57</v>
      </c>
      <c r="B71" s="1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5">
      <c r="A72" s="22">
        <f t="shared" si="0"/>
        <v>58</v>
      </c>
      <c r="B72" s="1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5">
      <c r="A73" s="22">
        <f t="shared" si="0"/>
        <v>59</v>
      </c>
      <c r="B73" s="19" t="s">
        <v>145</v>
      </c>
      <c r="C73" s="23">
        <f aca="true" t="shared" si="10" ref="C73:N73">SUM(C70:C72)</f>
        <v>27057</v>
      </c>
      <c r="D73" s="23">
        <f t="shared" si="10"/>
        <v>10622</v>
      </c>
      <c r="E73" s="23">
        <f t="shared" si="10"/>
        <v>0</v>
      </c>
      <c r="F73" s="23">
        <f t="shared" si="10"/>
        <v>0</v>
      </c>
      <c r="G73" s="23">
        <f t="shared" si="10"/>
        <v>18840</v>
      </c>
      <c r="H73" s="23"/>
      <c r="I73" s="23">
        <f>SUM(I70:I72)</f>
        <v>0</v>
      </c>
      <c r="J73" s="23">
        <f>SUM(J70:J72)</f>
        <v>6201.5</v>
      </c>
      <c r="K73" s="23">
        <f>SUM(K70:K72)</f>
        <v>12638</v>
      </c>
      <c r="L73" s="23"/>
      <c r="M73" s="23">
        <f t="shared" si="10"/>
        <v>0</v>
      </c>
      <c r="N73" s="23">
        <f t="shared" si="10"/>
        <v>8892</v>
      </c>
      <c r="O73" s="23">
        <f>SUM(O70:O72)</f>
        <v>18165</v>
      </c>
      <c r="P73" s="20"/>
      <c r="Q73" s="23">
        <f>SUM(Q70:Q72)</f>
        <v>0</v>
      </c>
      <c r="R73" s="23">
        <f>SUM(R70:R72)</f>
        <v>3511</v>
      </c>
      <c r="S73" s="23">
        <f>SUM(S70:S72)</f>
        <v>7111</v>
      </c>
    </row>
    <row r="74" spans="1:19" ht="15">
      <c r="A74" s="7"/>
      <c r="B74" s="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3:1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3:1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3:1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3:1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3:1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3:1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3:1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3:1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3:1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3:1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3:1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3:1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3:1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3:1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3:1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3:1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3:1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3:1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3:1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3:1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3:1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3:1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3:1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3:1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3:1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</sheetData>
  <sheetProtection/>
  <printOptions/>
  <pageMargins left="0.75" right="0.25" top="0.75" bottom="0.5" header="0" footer="0"/>
  <pageSetup horizontalDpi="600" verticalDpi="600" orientation="portrait" scale="70" r:id="rId1"/>
  <headerFooter alignWithMargins="0">
    <oddHeader>&amp;RSTATEMENT AF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tabSelected="1" showOutlineSymbols="0" zoomScale="87" zoomScaleNormal="87" zoomScalePageLayoutView="0" workbookViewId="0" topLeftCell="A1">
      <pane xSplit="2" ySplit="1" topLeftCell="L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V12" sqref="V12"/>
    </sheetView>
  </sheetViews>
  <sheetFormatPr defaultColWidth="12.7109375" defaultRowHeight="15"/>
  <cols>
    <col min="1" max="1" width="5.7109375" style="3" customWidth="1"/>
    <col min="2" max="2" width="55.140625" style="1" bestFit="1" customWidth="1"/>
    <col min="3" max="4" width="14.7109375" style="1" customWidth="1"/>
    <col min="5" max="7" width="14.7109375" style="1" hidden="1" customWidth="1"/>
    <col min="8" max="8" width="6.140625" style="1" hidden="1" customWidth="1"/>
    <col min="9" max="11" width="14.7109375" style="1" hidden="1" customWidth="1"/>
    <col min="12" max="12" width="4.7109375" style="1" customWidth="1"/>
    <col min="13" max="15" width="14.7109375" style="1" customWidth="1"/>
    <col min="16" max="16" width="4.7109375" style="1" customWidth="1"/>
    <col min="17" max="19" width="14.7109375" style="1" customWidth="1"/>
    <col min="20" max="16384" width="12.7109375" style="1" customWidth="1"/>
  </cols>
  <sheetData>
    <row r="1" spans="1:19" ht="12.75">
      <c r="A1" s="45"/>
      <c r="B1" s="8" t="s">
        <v>641</v>
      </c>
      <c r="C1" s="46"/>
      <c r="D1" s="46"/>
      <c r="E1" s="46"/>
      <c r="F1" s="46"/>
      <c r="G1" s="47"/>
      <c r="H1" s="26"/>
      <c r="I1" s="26"/>
      <c r="J1" s="26"/>
      <c r="K1" s="47"/>
      <c r="L1" s="26"/>
      <c r="M1" s="46"/>
      <c r="N1" s="46"/>
      <c r="O1" s="47"/>
      <c r="P1" s="46"/>
      <c r="Q1" s="46"/>
      <c r="R1" s="46"/>
      <c r="S1" s="47"/>
    </row>
    <row r="2" spans="1:19" ht="12.75">
      <c r="A2" s="45"/>
      <c r="B2" s="8" t="s">
        <v>146</v>
      </c>
      <c r="C2" s="46"/>
      <c r="D2" s="46"/>
      <c r="E2" s="46"/>
      <c r="F2" s="46"/>
      <c r="G2" s="47"/>
      <c r="H2" s="26"/>
      <c r="I2" s="26"/>
      <c r="J2" s="26"/>
      <c r="K2" s="47"/>
      <c r="L2" s="26"/>
      <c r="M2" s="46"/>
      <c r="N2" s="46"/>
      <c r="O2" s="47"/>
      <c r="P2" s="46"/>
      <c r="Q2" s="46"/>
      <c r="R2" s="46"/>
      <c r="S2" s="47"/>
    </row>
    <row r="3" spans="1:19" ht="12.75">
      <c r="A3" s="45"/>
      <c r="B3" s="8" t="s">
        <v>658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2.75">
      <c r="A4" s="45"/>
      <c r="B4" s="48"/>
      <c r="C4" s="46"/>
      <c r="D4" s="46"/>
      <c r="E4" s="46"/>
      <c r="F4" s="46"/>
      <c r="G4" s="47" t="s">
        <v>147</v>
      </c>
      <c r="H4" s="46"/>
      <c r="I4" s="46"/>
      <c r="J4" s="46"/>
      <c r="K4" s="47" t="s">
        <v>147</v>
      </c>
      <c r="L4" s="46"/>
      <c r="M4" s="46"/>
      <c r="N4" s="46"/>
      <c r="O4" s="47" t="s">
        <v>147</v>
      </c>
      <c r="P4" s="46"/>
      <c r="Q4" s="46"/>
      <c r="R4" s="46"/>
      <c r="S4" s="47" t="s">
        <v>147</v>
      </c>
    </row>
    <row r="5" spans="1:19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2.75">
      <c r="A6" s="45"/>
      <c r="B6" s="46"/>
      <c r="C6" s="46"/>
      <c r="D6" s="46"/>
      <c r="E6" s="46"/>
      <c r="F6" s="46"/>
      <c r="G6" s="46"/>
      <c r="H6" s="49"/>
      <c r="I6" s="49"/>
      <c r="J6" s="49"/>
      <c r="K6" s="49"/>
      <c r="L6" s="49"/>
      <c r="M6" s="46"/>
      <c r="N6" s="46"/>
      <c r="O6" s="46"/>
      <c r="P6" s="46"/>
      <c r="Q6" s="46"/>
      <c r="R6" s="46"/>
      <c r="S6" s="46"/>
    </row>
    <row r="7" spans="1:19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2.75">
      <c r="A8" s="45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46"/>
      <c r="Q8" s="13" t="s">
        <v>15</v>
      </c>
      <c r="R8" s="13" t="s">
        <v>16</v>
      </c>
      <c r="S8" s="13" t="s">
        <v>17</v>
      </c>
    </row>
    <row r="9" spans="1:19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2.75">
      <c r="A10" s="45"/>
      <c r="B10" s="46"/>
      <c r="C10" s="37" t="s">
        <v>18</v>
      </c>
      <c r="D10" s="37"/>
      <c r="E10" s="15" t="s">
        <v>19</v>
      </c>
      <c r="F10" s="37"/>
      <c r="G10" s="49" t="s">
        <v>20</v>
      </c>
      <c r="H10" s="49"/>
      <c r="I10" s="37" t="s">
        <v>21</v>
      </c>
      <c r="J10" s="37"/>
      <c r="K10" s="37"/>
      <c r="L10" s="49"/>
      <c r="M10" s="37" t="s">
        <v>22</v>
      </c>
      <c r="N10" s="37"/>
      <c r="O10" s="37"/>
      <c r="P10" s="46"/>
      <c r="Q10" s="37" t="s">
        <v>659</v>
      </c>
      <c r="R10" s="37"/>
      <c r="S10" s="37"/>
    </row>
    <row r="11" spans="1:19" ht="12.75">
      <c r="A11" s="45"/>
      <c r="B11" s="46"/>
      <c r="C11" s="50"/>
      <c r="D11" s="50"/>
      <c r="E11" s="46"/>
      <c r="F11" s="46"/>
      <c r="G11" s="49" t="s">
        <v>23</v>
      </c>
      <c r="H11" s="49"/>
      <c r="I11" s="50"/>
      <c r="J11" s="50"/>
      <c r="K11" s="50"/>
      <c r="L11" s="49"/>
      <c r="M11" s="50"/>
      <c r="N11" s="50"/>
      <c r="O11" s="50"/>
      <c r="P11" s="46"/>
      <c r="Q11" s="50"/>
      <c r="R11" s="50"/>
      <c r="S11" s="50"/>
    </row>
    <row r="12" spans="1:19" ht="12.75">
      <c r="A12" s="45"/>
      <c r="B12" s="46"/>
      <c r="C12" s="49" t="s">
        <v>24</v>
      </c>
      <c r="D12" s="49" t="s">
        <v>24</v>
      </c>
      <c r="E12" s="49" t="s">
        <v>24</v>
      </c>
      <c r="F12" s="49" t="s">
        <v>24</v>
      </c>
      <c r="G12" s="49" t="s">
        <v>25</v>
      </c>
      <c r="H12" s="49"/>
      <c r="I12" s="46"/>
      <c r="J12" s="46"/>
      <c r="K12" s="46"/>
      <c r="L12" s="49"/>
      <c r="M12" s="46"/>
      <c r="N12" s="46"/>
      <c r="O12" s="46"/>
      <c r="P12" s="46"/>
      <c r="Q12" s="46"/>
      <c r="R12" s="46"/>
      <c r="S12" s="46"/>
    </row>
    <row r="13" spans="1:19" ht="12.75">
      <c r="A13" s="45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46"/>
      <c r="Q13" s="13" t="s">
        <v>29</v>
      </c>
      <c r="R13" s="13" t="s">
        <v>30</v>
      </c>
      <c r="S13" s="13" t="s">
        <v>31</v>
      </c>
    </row>
    <row r="14" spans="1:19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.75">
      <c r="A15" s="51"/>
      <c r="B15" s="41" t="s">
        <v>148</v>
      </c>
      <c r="C15" s="41"/>
      <c r="D15" s="41"/>
      <c r="E15" s="41"/>
      <c r="F15" s="5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.75">
      <c r="A16" s="5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.75">
      <c r="A17" s="93">
        <v>1</v>
      </c>
      <c r="B17" s="41" t="s">
        <v>330</v>
      </c>
      <c r="C17" s="41">
        <f aca="true" t="shared" si="0" ref="C17:C42">SUM(M17:O17)</f>
        <v>34152.83</v>
      </c>
      <c r="D17" s="41">
        <f aca="true" t="shared" si="1" ref="D17:D41">SUM(Q17:S17)</f>
        <v>18757</v>
      </c>
      <c r="E17" s="41"/>
      <c r="F17" s="41"/>
      <c r="G17" s="41">
        <f aca="true" t="shared" si="2" ref="G17:G42">ROUND(SUM(C17:F17)/2,0)</f>
        <v>26455</v>
      </c>
      <c r="H17" s="94" t="str">
        <f>IF((SUM(I17:K17)-G17)&gt;1,"E"," ")</f>
        <v> </v>
      </c>
      <c r="I17" s="41">
        <f aca="true" t="shared" si="3" ref="I17:I41">(+M17+Q17)/2</f>
        <v>0</v>
      </c>
      <c r="J17" s="41">
        <f>ROUND((+N17+R17)/2,0)</f>
        <v>6962</v>
      </c>
      <c r="K17" s="41">
        <f>ROUND((+O17+S17)/2,0)</f>
        <v>19493</v>
      </c>
      <c r="L17" s="41"/>
      <c r="M17" s="41">
        <v>0</v>
      </c>
      <c r="N17" s="41">
        <v>8065.08</v>
      </c>
      <c r="O17" s="41">
        <v>26087.75</v>
      </c>
      <c r="P17" s="41"/>
      <c r="Q17" s="41">
        <v>0</v>
      </c>
      <c r="R17" s="41">
        <v>5859</v>
      </c>
      <c r="S17" s="41">
        <v>12898</v>
      </c>
    </row>
    <row r="18" spans="1:19" ht="12.75">
      <c r="A18" s="95">
        <f aca="true" t="shared" si="4" ref="A18:A51">A17+1</f>
        <v>2</v>
      </c>
      <c r="B18" s="41" t="s">
        <v>150</v>
      </c>
      <c r="C18" s="41">
        <f>SUM(M18:O18)</f>
        <v>629622.82</v>
      </c>
      <c r="D18" s="41">
        <f t="shared" si="1"/>
        <v>688313.78</v>
      </c>
      <c r="E18" s="41"/>
      <c r="F18" s="41"/>
      <c r="G18" s="41">
        <f>ROUND(SUM(C18:F18)/2,0)</f>
        <v>658968</v>
      </c>
      <c r="H18" s="94" t="str">
        <f>IF((SUM(I18:K18)-G18)&gt;1,"E"," ")</f>
        <v> </v>
      </c>
      <c r="I18" s="41">
        <f t="shared" si="3"/>
        <v>0</v>
      </c>
      <c r="J18" s="41">
        <f aca="true" t="shared" si="5" ref="J18:K43">ROUND((+N18+R18)/2,0)</f>
        <v>223772</v>
      </c>
      <c r="K18" s="41">
        <f t="shared" si="5"/>
        <v>435196</v>
      </c>
      <c r="L18" s="41"/>
      <c r="M18" s="41">
        <v>0</v>
      </c>
      <c r="N18" s="41">
        <f>244352.87-52296</f>
        <v>192056.87</v>
      </c>
      <c r="O18" s="41">
        <f>608502.95-170937</f>
        <v>437565.94999999995</v>
      </c>
      <c r="P18" s="41"/>
      <c r="Q18" s="41">
        <v>0</v>
      </c>
      <c r="R18" s="41">
        <f>317155.91-61669</f>
        <v>255486.90999999997</v>
      </c>
      <c r="S18" s="41">
        <f>624745.87-191919</f>
        <v>432826.87</v>
      </c>
    </row>
    <row r="19" spans="1:19" ht="12.75">
      <c r="A19" s="95">
        <f t="shared" si="4"/>
        <v>3</v>
      </c>
      <c r="B19" s="41" t="s">
        <v>334</v>
      </c>
      <c r="C19" s="41">
        <f t="shared" si="0"/>
        <v>543231.48</v>
      </c>
      <c r="D19" s="41">
        <f t="shared" si="1"/>
        <v>1003606.1000000001</v>
      </c>
      <c r="E19" s="41"/>
      <c r="F19" s="41"/>
      <c r="G19" s="41">
        <f t="shared" si="2"/>
        <v>773419</v>
      </c>
      <c r="H19" s="94" t="str">
        <f aca="true" t="shared" si="6" ref="H19:H42">IF((SUM(I19:K19)-G19)&gt;1,"E"," ")</f>
        <v> </v>
      </c>
      <c r="I19" s="41">
        <f t="shared" si="3"/>
        <v>0</v>
      </c>
      <c r="J19" s="41">
        <f t="shared" si="5"/>
        <v>235596</v>
      </c>
      <c r="K19" s="41">
        <f t="shared" si="5"/>
        <v>537823</v>
      </c>
      <c r="L19" s="41"/>
      <c r="M19" s="41">
        <v>0</v>
      </c>
      <c r="N19" s="41">
        <v>-1921.63</v>
      </c>
      <c r="O19" s="41">
        <v>545153.11</v>
      </c>
      <c r="P19" s="41"/>
      <c r="Q19" s="41">
        <v>0</v>
      </c>
      <c r="R19" s="41">
        <v>473113.07</v>
      </c>
      <c r="S19" s="41">
        <v>530493.03</v>
      </c>
    </row>
    <row r="20" spans="1:19" ht="12.75">
      <c r="A20" s="95">
        <f t="shared" si="4"/>
        <v>4</v>
      </c>
      <c r="B20" s="41" t="s">
        <v>649</v>
      </c>
      <c r="C20" s="41">
        <f t="shared" si="0"/>
        <v>0.15</v>
      </c>
      <c r="D20" s="41">
        <f t="shared" si="1"/>
        <v>0.15</v>
      </c>
      <c r="E20" s="41"/>
      <c r="F20" s="41"/>
      <c r="G20" s="41">
        <f>ROUND(SUM(C20:F20)/2,0)</f>
        <v>0</v>
      </c>
      <c r="H20" s="94" t="str">
        <f t="shared" si="6"/>
        <v> </v>
      </c>
      <c r="I20" s="41">
        <f t="shared" si="3"/>
        <v>0</v>
      </c>
      <c r="J20" s="41">
        <f t="shared" si="5"/>
        <v>0</v>
      </c>
      <c r="K20" s="41">
        <f t="shared" si="5"/>
        <v>0</v>
      </c>
      <c r="L20" s="41"/>
      <c r="M20" s="41">
        <v>0</v>
      </c>
      <c r="N20" s="41">
        <v>0</v>
      </c>
      <c r="O20" s="41">
        <v>0.15</v>
      </c>
      <c r="P20" s="41"/>
      <c r="Q20" s="41">
        <v>0</v>
      </c>
      <c r="R20" s="41">
        <v>0</v>
      </c>
      <c r="S20" s="41">
        <v>0.15</v>
      </c>
    </row>
    <row r="21" spans="1:19" ht="12.75">
      <c r="A21" s="95">
        <f t="shared" si="4"/>
        <v>5</v>
      </c>
      <c r="B21" s="41" t="s">
        <v>650</v>
      </c>
      <c r="C21" s="41">
        <f>SUM(M21:O21)</f>
        <v>0</v>
      </c>
      <c r="D21" s="41">
        <f t="shared" si="1"/>
        <v>0</v>
      </c>
      <c r="E21" s="41"/>
      <c r="F21" s="41"/>
      <c r="G21" s="41">
        <f>ROUND(SUM(C21:F21)/2,0)</f>
        <v>0</v>
      </c>
      <c r="H21" s="94" t="str">
        <f>IF((SUM(I21:K21)-G21)&gt;1,"E"," ")</f>
        <v> </v>
      </c>
      <c r="I21" s="41">
        <f t="shared" si="3"/>
        <v>0</v>
      </c>
      <c r="J21" s="41">
        <f t="shared" si="5"/>
        <v>0</v>
      </c>
      <c r="K21" s="41">
        <f t="shared" si="5"/>
        <v>0</v>
      </c>
      <c r="L21" s="41"/>
      <c r="M21" s="41">
        <v>0</v>
      </c>
      <c r="N21" s="41">
        <v>0</v>
      </c>
      <c r="O21" s="41">
        <v>0</v>
      </c>
      <c r="P21" s="41"/>
      <c r="Q21" s="41">
        <v>0</v>
      </c>
      <c r="R21" s="41">
        <v>0</v>
      </c>
      <c r="S21" s="41">
        <v>0</v>
      </c>
    </row>
    <row r="22" spans="1:19" ht="12.75">
      <c r="A22" s="95">
        <f t="shared" si="4"/>
        <v>6</v>
      </c>
      <c r="B22" s="41" t="s">
        <v>162</v>
      </c>
      <c r="C22" s="41">
        <f t="shared" si="0"/>
        <v>91525.93</v>
      </c>
      <c r="D22" s="41">
        <f t="shared" si="1"/>
        <v>102710.12000000001</v>
      </c>
      <c r="E22" s="41"/>
      <c r="F22" s="41"/>
      <c r="G22" s="41">
        <f t="shared" si="2"/>
        <v>97118</v>
      </c>
      <c r="H22" s="94" t="str">
        <f t="shared" si="6"/>
        <v> </v>
      </c>
      <c r="I22" s="41">
        <f t="shared" si="3"/>
        <v>0</v>
      </c>
      <c r="J22" s="41">
        <f t="shared" si="5"/>
        <v>1849</v>
      </c>
      <c r="K22" s="41">
        <f t="shared" si="5"/>
        <v>95269</v>
      </c>
      <c r="L22" s="41"/>
      <c r="M22" s="41">
        <v>0</v>
      </c>
      <c r="N22" s="41">
        <v>3697.37</v>
      </c>
      <c r="O22" s="41">
        <v>87828.56</v>
      </c>
      <c r="P22" s="41"/>
      <c r="Q22" s="41">
        <v>0</v>
      </c>
      <c r="R22" s="41">
        <v>-0.01</v>
      </c>
      <c r="S22" s="41">
        <v>102710.13</v>
      </c>
    </row>
    <row r="23" spans="1:19" ht="12.75">
      <c r="A23" s="95">
        <f t="shared" si="4"/>
        <v>7</v>
      </c>
      <c r="B23" s="41" t="s">
        <v>168</v>
      </c>
      <c r="C23" s="41">
        <f t="shared" si="0"/>
        <v>222502.03</v>
      </c>
      <c r="D23" s="41">
        <f t="shared" si="1"/>
        <v>53460.87</v>
      </c>
      <c r="E23" s="41"/>
      <c r="F23" s="41"/>
      <c r="G23" s="41">
        <f t="shared" si="2"/>
        <v>137981</v>
      </c>
      <c r="H23" s="94" t="str">
        <f t="shared" si="6"/>
        <v> </v>
      </c>
      <c r="I23" s="41">
        <f t="shared" si="3"/>
        <v>0</v>
      </c>
      <c r="J23" s="41">
        <f t="shared" si="5"/>
        <v>0</v>
      </c>
      <c r="K23" s="41">
        <f t="shared" si="5"/>
        <v>137981</v>
      </c>
      <c r="L23" s="41"/>
      <c r="M23" s="41">
        <v>0</v>
      </c>
      <c r="N23" s="41">
        <v>0</v>
      </c>
      <c r="O23" s="41">
        <f>222502.04-0.01</f>
        <v>222502.03</v>
      </c>
      <c r="P23" s="41"/>
      <c r="Q23" s="41">
        <v>0</v>
      </c>
      <c r="R23" s="41">
        <v>0</v>
      </c>
      <c r="S23" s="41">
        <v>53460.87</v>
      </c>
    </row>
    <row r="24" spans="1:19" ht="12.75">
      <c r="A24" s="95">
        <f t="shared" si="4"/>
        <v>8</v>
      </c>
      <c r="B24" s="41" t="s">
        <v>670</v>
      </c>
      <c r="C24" s="41">
        <f>SUM(M24:O24)</f>
        <v>0</v>
      </c>
      <c r="D24" s="41">
        <f t="shared" si="1"/>
        <v>18189.15</v>
      </c>
      <c r="E24" s="41"/>
      <c r="F24" s="41"/>
      <c r="G24" s="41">
        <f>ROUND(SUM(C24:F24)/2,0)</f>
        <v>9095</v>
      </c>
      <c r="H24" s="94" t="str">
        <f>IF((SUM(I24:K24)-G24)&gt;1,"E"," ")</f>
        <v> </v>
      </c>
      <c r="I24" s="41">
        <f t="shared" si="3"/>
        <v>0</v>
      </c>
      <c r="J24" s="41">
        <f>ROUND((+N24+R24)/2,0)</f>
        <v>0</v>
      </c>
      <c r="K24" s="41">
        <f>ROUND((+O24+S24)/2,0)</f>
        <v>9095</v>
      </c>
      <c r="L24" s="41"/>
      <c r="M24" s="41">
        <v>0</v>
      </c>
      <c r="N24" s="41">
        <v>0</v>
      </c>
      <c r="O24" s="41">
        <v>0</v>
      </c>
      <c r="P24" s="41"/>
      <c r="Q24" s="41">
        <v>0</v>
      </c>
      <c r="R24" s="41">
        <v>0</v>
      </c>
      <c r="S24" s="41">
        <v>18189.15</v>
      </c>
    </row>
    <row r="25" spans="1:19" ht="12.75">
      <c r="A25" s="95">
        <f t="shared" si="4"/>
        <v>9</v>
      </c>
      <c r="B25" s="41" t="s">
        <v>171</v>
      </c>
      <c r="C25" s="41">
        <f t="shared" si="0"/>
        <v>206891.81</v>
      </c>
      <c r="D25" s="41">
        <f t="shared" si="1"/>
        <v>205928.01</v>
      </c>
      <c r="E25" s="41"/>
      <c r="F25" s="41"/>
      <c r="G25" s="41">
        <f t="shared" si="2"/>
        <v>206410</v>
      </c>
      <c r="H25" s="94" t="str">
        <f t="shared" si="6"/>
        <v> </v>
      </c>
      <c r="I25" s="41">
        <f t="shared" si="3"/>
        <v>0</v>
      </c>
      <c r="J25" s="41">
        <f t="shared" si="5"/>
        <v>-3968</v>
      </c>
      <c r="K25" s="41">
        <f t="shared" si="5"/>
        <v>210378</v>
      </c>
      <c r="L25" s="41"/>
      <c r="M25" s="41">
        <v>0</v>
      </c>
      <c r="N25" s="41">
        <v>-3968.03</v>
      </c>
      <c r="O25" s="41">
        <v>210859.84</v>
      </c>
      <c r="P25" s="41"/>
      <c r="Q25" s="41">
        <v>0</v>
      </c>
      <c r="R25" s="41">
        <v>-3968.03</v>
      </c>
      <c r="S25" s="41">
        <v>209896.04</v>
      </c>
    </row>
    <row r="26" spans="1:19" ht="12.75">
      <c r="A26" s="95">
        <f t="shared" si="4"/>
        <v>10</v>
      </c>
      <c r="B26" s="41" t="s">
        <v>173</v>
      </c>
      <c r="C26" s="41">
        <f t="shared" si="0"/>
        <v>61245.41</v>
      </c>
      <c r="D26" s="41">
        <f t="shared" si="1"/>
        <v>53802.66</v>
      </c>
      <c r="E26" s="41"/>
      <c r="F26" s="41"/>
      <c r="G26" s="41">
        <f t="shared" si="2"/>
        <v>57524</v>
      </c>
      <c r="H26" s="94" t="str">
        <f t="shared" si="6"/>
        <v> </v>
      </c>
      <c r="I26" s="41">
        <f t="shared" si="3"/>
        <v>0</v>
      </c>
      <c r="J26" s="41">
        <f t="shared" si="5"/>
        <v>-4156</v>
      </c>
      <c r="K26" s="41">
        <f t="shared" si="5"/>
        <v>61680</v>
      </c>
      <c r="L26" s="41"/>
      <c r="M26" s="41">
        <v>0</v>
      </c>
      <c r="N26" s="41">
        <v>-4156</v>
      </c>
      <c r="O26" s="41">
        <v>65401.41</v>
      </c>
      <c r="P26" s="41"/>
      <c r="Q26" s="41">
        <v>0</v>
      </c>
      <c r="R26" s="41">
        <v>-4156</v>
      </c>
      <c r="S26" s="41">
        <v>57958.66</v>
      </c>
    </row>
    <row r="27" spans="1:19" ht="12.75">
      <c r="A27" s="95">
        <f t="shared" si="4"/>
        <v>11</v>
      </c>
      <c r="B27" s="41" t="s">
        <v>354</v>
      </c>
      <c r="C27" s="41">
        <f t="shared" si="0"/>
        <v>157063.2</v>
      </c>
      <c r="D27" s="41">
        <f t="shared" si="1"/>
        <v>157063.2</v>
      </c>
      <c r="E27" s="41"/>
      <c r="F27" s="41"/>
      <c r="G27" s="41">
        <f t="shared" si="2"/>
        <v>157063</v>
      </c>
      <c r="H27" s="94" t="str">
        <f t="shared" si="6"/>
        <v> </v>
      </c>
      <c r="I27" s="41">
        <f t="shared" si="3"/>
        <v>0</v>
      </c>
      <c r="J27" s="41">
        <f t="shared" si="5"/>
        <v>0</v>
      </c>
      <c r="K27" s="41">
        <f t="shared" si="5"/>
        <v>157063</v>
      </c>
      <c r="L27" s="41"/>
      <c r="M27" s="41">
        <v>0</v>
      </c>
      <c r="N27" s="41">
        <v>0</v>
      </c>
      <c r="O27" s="41">
        <v>157063.2</v>
      </c>
      <c r="P27" s="41"/>
      <c r="Q27" s="41">
        <v>0</v>
      </c>
      <c r="R27" s="41">
        <v>0</v>
      </c>
      <c r="S27" s="41">
        <v>157063.2</v>
      </c>
    </row>
    <row r="28" spans="1:19" ht="12.75">
      <c r="A28" s="95">
        <f t="shared" si="4"/>
        <v>12</v>
      </c>
      <c r="B28" s="41" t="s">
        <v>651</v>
      </c>
      <c r="C28" s="41">
        <f t="shared" si="0"/>
        <v>146776.44999999998</v>
      </c>
      <c r="D28" s="41">
        <f t="shared" si="1"/>
        <v>145731.35</v>
      </c>
      <c r="E28" s="41"/>
      <c r="F28" s="41"/>
      <c r="G28" s="41">
        <f t="shared" si="2"/>
        <v>146254</v>
      </c>
      <c r="H28" s="94" t="str">
        <f t="shared" si="6"/>
        <v> </v>
      </c>
      <c r="I28" s="41">
        <f t="shared" si="3"/>
        <v>0</v>
      </c>
      <c r="J28" s="41">
        <f t="shared" si="5"/>
        <v>870</v>
      </c>
      <c r="K28" s="41">
        <f t="shared" si="5"/>
        <v>145384</v>
      </c>
      <c r="L28" s="41"/>
      <c r="M28" s="41">
        <v>0</v>
      </c>
      <c r="N28" s="41">
        <f>-11765.95+13102</f>
        <v>1336.0499999999993</v>
      </c>
      <c r="O28" s="41">
        <f>115245.4+30195</f>
        <v>145440.4</v>
      </c>
      <c r="P28" s="41"/>
      <c r="Q28" s="41">
        <v>0</v>
      </c>
      <c r="R28" s="41">
        <f>-12698+13102</f>
        <v>404</v>
      </c>
      <c r="S28" s="41">
        <f>115132.35+30195</f>
        <v>145327.35</v>
      </c>
    </row>
    <row r="29" spans="1:19" ht="12.75">
      <c r="A29" s="95">
        <f t="shared" si="4"/>
        <v>13</v>
      </c>
      <c r="B29" s="41" t="s">
        <v>652</v>
      </c>
      <c r="C29" s="41">
        <f t="shared" si="0"/>
        <v>0.6000000000058208</v>
      </c>
      <c r="D29" s="41">
        <f t="shared" si="1"/>
        <v>0.6000000000058208</v>
      </c>
      <c r="E29" s="41"/>
      <c r="F29" s="41"/>
      <c r="G29" s="41">
        <f t="shared" si="2"/>
        <v>1</v>
      </c>
      <c r="H29" s="94" t="str">
        <f t="shared" si="6"/>
        <v> </v>
      </c>
      <c r="I29" s="41">
        <f t="shared" si="3"/>
        <v>0</v>
      </c>
      <c r="J29" s="41">
        <f t="shared" si="5"/>
        <v>0</v>
      </c>
      <c r="K29" s="41">
        <f t="shared" si="5"/>
        <v>0</v>
      </c>
      <c r="L29" s="41"/>
      <c r="M29" s="41">
        <v>0</v>
      </c>
      <c r="N29" s="41">
        <f>52974.25-52974</f>
        <v>0.25</v>
      </c>
      <c r="O29" s="41">
        <f>123606.35-123606</f>
        <v>0.35000000000582077</v>
      </c>
      <c r="P29" s="41"/>
      <c r="Q29" s="41">
        <v>0</v>
      </c>
      <c r="R29" s="41">
        <f>52974.25-52974</f>
        <v>0.25</v>
      </c>
      <c r="S29" s="41">
        <f>123606.35-123606</f>
        <v>0.35000000000582077</v>
      </c>
    </row>
    <row r="30" spans="1:19" ht="12.75">
      <c r="A30" s="95">
        <f t="shared" si="4"/>
        <v>14</v>
      </c>
      <c r="B30" s="41" t="s">
        <v>195</v>
      </c>
      <c r="C30" s="41">
        <f t="shared" si="0"/>
        <v>40418.56</v>
      </c>
      <c r="D30" s="41">
        <f t="shared" si="1"/>
        <v>34525.67</v>
      </c>
      <c r="E30" s="41"/>
      <c r="F30" s="41"/>
      <c r="G30" s="41">
        <f t="shared" si="2"/>
        <v>37472</v>
      </c>
      <c r="H30" s="94" t="str">
        <f t="shared" si="6"/>
        <v> </v>
      </c>
      <c r="I30" s="41">
        <f t="shared" si="3"/>
        <v>0</v>
      </c>
      <c r="J30" s="41">
        <f t="shared" si="5"/>
        <v>0</v>
      </c>
      <c r="K30" s="41">
        <f t="shared" si="5"/>
        <v>37472</v>
      </c>
      <c r="L30" s="41"/>
      <c r="M30" s="41">
        <v>0</v>
      </c>
      <c r="N30" s="41">
        <v>0</v>
      </c>
      <c r="O30" s="41">
        <v>40418.56</v>
      </c>
      <c r="P30" s="41"/>
      <c r="Q30" s="41">
        <v>0</v>
      </c>
      <c r="R30" s="41">
        <v>0</v>
      </c>
      <c r="S30" s="41">
        <v>34525.67</v>
      </c>
    </row>
    <row r="31" spans="1:19" ht="12.75">
      <c r="A31" s="95">
        <f t="shared" si="4"/>
        <v>15</v>
      </c>
      <c r="B31" s="41" t="s">
        <v>199</v>
      </c>
      <c r="C31" s="41">
        <f t="shared" si="0"/>
        <v>-8.75</v>
      </c>
      <c r="D31" s="41">
        <f t="shared" si="1"/>
        <v>124.6</v>
      </c>
      <c r="E31" s="41"/>
      <c r="F31" s="41"/>
      <c r="G31" s="41">
        <f t="shared" si="2"/>
        <v>58</v>
      </c>
      <c r="H31" s="94" t="str">
        <f t="shared" si="6"/>
        <v> </v>
      </c>
      <c r="I31" s="41">
        <f t="shared" si="3"/>
        <v>0</v>
      </c>
      <c r="J31" s="41">
        <f t="shared" si="5"/>
        <v>0</v>
      </c>
      <c r="K31" s="41">
        <f t="shared" si="5"/>
        <v>58</v>
      </c>
      <c r="L31" s="41"/>
      <c r="M31" s="41">
        <v>0</v>
      </c>
      <c r="N31" s="41">
        <v>0.3</v>
      </c>
      <c r="O31" s="41">
        <v>-9.05</v>
      </c>
      <c r="P31" s="41"/>
      <c r="Q31" s="41">
        <v>0</v>
      </c>
      <c r="R31" s="41">
        <v>0.3</v>
      </c>
      <c r="S31" s="41">
        <v>124.3</v>
      </c>
    </row>
    <row r="32" spans="1:19" ht="12.75">
      <c r="A32" s="95">
        <f t="shared" si="4"/>
        <v>16</v>
      </c>
      <c r="B32" s="41" t="s">
        <v>201</v>
      </c>
      <c r="C32" s="41">
        <f t="shared" si="0"/>
        <v>221983.16</v>
      </c>
      <c r="D32" s="41">
        <f t="shared" si="1"/>
        <v>-118663.8</v>
      </c>
      <c r="E32" s="41"/>
      <c r="F32" s="41"/>
      <c r="G32" s="41">
        <f t="shared" si="2"/>
        <v>51660</v>
      </c>
      <c r="H32" s="94" t="str">
        <f t="shared" si="6"/>
        <v> </v>
      </c>
      <c r="I32" s="41">
        <f t="shared" si="3"/>
        <v>0</v>
      </c>
      <c r="J32" s="41">
        <f t="shared" si="5"/>
        <v>32521</v>
      </c>
      <c r="K32" s="41">
        <f t="shared" si="5"/>
        <v>19138</v>
      </c>
      <c r="L32" s="41"/>
      <c r="M32" s="41">
        <v>0</v>
      </c>
      <c r="N32" s="41">
        <v>41277.84</v>
      </c>
      <c r="O32" s="41">
        <v>180705.32</v>
      </c>
      <c r="P32" s="41"/>
      <c r="Q32" s="41">
        <v>0</v>
      </c>
      <c r="R32" s="41">
        <v>23764.98</v>
      </c>
      <c r="S32" s="41">
        <v>-142428.78</v>
      </c>
    </row>
    <row r="33" spans="1:19" ht="12.75">
      <c r="A33" s="95">
        <f t="shared" si="4"/>
        <v>17</v>
      </c>
      <c r="B33" s="41" t="s">
        <v>383</v>
      </c>
      <c r="C33" s="41">
        <f t="shared" si="0"/>
        <v>24163.9</v>
      </c>
      <c r="D33" s="41">
        <f t="shared" si="1"/>
        <v>44488.2</v>
      </c>
      <c r="E33" s="41"/>
      <c r="F33" s="41"/>
      <c r="G33" s="41">
        <f t="shared" si="2"/>
        <v>34326</v>
      </c>
      <c r="H33" s="94" t="str">
        <f t="shared" si="6"/>
        <v> </v>
      </c>
      <c r="I33" s="41">
        <f t="shared" si="3"/>
        <v>0</v>
      </c>
      <c r="J33" s="41">
        <f t="shared" si="5"/>
        <v>0</v>
      </c>
      <c r="K33" s="41">
        <f t="shared" si="5"/>
        <v>34326</v>
      </c>
      <c r="L33" s="41"/>
      <c r="M33" s="41">
        <v>0</v>
      </c>
      <c r="N33" s="41">
        <v>0</v>
      </c>
      <c r="O33" s="41">
        <v>24163.9</v>
      </c>
      <c r="P33" s="41"/>
      <c r="Q33" s="41">
        <v>0</v>
      </c>
      <c r="R33" s="41">
        <v>0</v>
      </c>
      <c r="S33" s="41">
        <v>44488.2</v>
      </c>
    </row>
    <row r="34" spans="1:19" ht="12.75">
      <c r="A34" s="95">
        <f t="shared" si="4"/>
        <v>18</v>
      </c>
      <c r="B34" s="41" t="s">
        <v>653</v>
      </c>
      <c r="C34" s="41">
        <f t="shared" si="0"/>
        <v>218202.6</v>
      </c>
      <c r="D34" s="41">
        <f t="shared" si="1"/>
        <v>271336.1</v>
      </c>
      <c r="E34" s="41"/>
      <c r="F34" s="41"/>
      <c r="G34" s="41">
        <f t="shared" si="2"/>
        <v>244769</v>
      </c>
      <c r="H34" s="94" t="str">
        <f t="shared" si="6"/>
        <v> </v>
      </c>
      <c r="I34" s="41">
        <f t="shared" si="3"/>
        <v>0</v>
      </c>
      <c r="J34" s="41">
        <f t="shared" si="5"/>
        <v>19426</v>
      </c>
      <c r="K34" s="41">
        <f t="shared" si="5"/>
        <v>225343</v>
      </c>
      <c r="L34" s="41"/>
      <c r="M34" s="41">
        <v>0</v>
      </c>
      <c r="N34" s="41">
        <v>18216.1</v>
      </c>
      <c r="O34" s="41">
        <v>199986.5</v>
      </c>
      <c r="P34" s="41"/>
      <c r="Q34" s="41">
        <v>0</v>
      </c>
      <c r="R34" s="41">
        <v>20636.7</v>
      </c>
      <c r="S34" s="41">
        <v>250699.4</v>
      </c>
    </row>
    <row r="35" spans="1:19" ht="12.75">
      <c r="A35" s="95">
        <f t="shared" si="4"/>
        <v>19</v>
      </c>
      <c r="B35" s="41" t="s">
        <v>654</v>
      </c>
      <c r="C35" s="41">
        <f t="shared" si="0"/>
        <v>40280.7</v>
      </c>
      <c r="D35" s="41">
        <f t="shared" si="1"/>
        <v>42850.299999999996</v>
      </c>
      <c r="E35" s="41"/>
      <c r="F35" s="41"/>
      <c r="G35" s="41">
        <f t="shared" si="2"/>
        <v>41566</v>
      </c>
      <c r="H35" s="94" t="str">
        <f t="shared" si="6"/>
        <v> </v>
      </c>
      <c r="I35" s="41">
        <f t="shared" si="3"/>
        <v>0</v>
      </c>
      <c r="J35" s="41">
        <f t="shared" si="5"/>
        <v>4095</v>
      </c>
      <c r="K35" s="41">
        <f t="shared" si="5"/>
        <v>37470</v>
      </c>
      <c r="L35" s="41"/>
      <c r="M35" s="41">
        <v>0</v>
      </c>
      <c r="N35" s="41">
        <v>3968.74</v>
      </c>
      <c r="O35" s="41">
        <v>36311.96</v>
      </c>
      <c r="P35" s="41"/>
      <c r="Q35" s="41">
        <v>0</v>
      </c>
      <c r="R35" s="41">
        <v>4221.92</v>
      </c>
      <c r="S35" s="41">
        <v>38628.38</v>
      </c>
    </row>
    <row r="36" spans="1:19" ht="12.75">
      <c r="A36" s="95">
        <f t="shared" si="4"/>
        <v>20</v>
      </c>
      <c r="B36" s="41" t="s">
        <v>438</v>
      </c>
      <c r="C36" s="41">
        <f>SUM(M36:O36)</f>
        <v>-22541.050000000003</v>
      </c>
      <c r="D36" s="41">
        <f>SUM(Q36:S36)</f>
        <v>-20945.399999999998</v>
      </c>
      <c r="E36" s="41"/>
      <c r="F36" s="41"/>
      <c r="G36" s="41">
        <f>ROUND(SUM(C36:F36)/2,0)</f>
        <v>-21743</v>
      </c>
      <c r="H36" s="94" t="str">
        <f>IF((SUM(I36:K36)-G36)&gt;1,"E"," ")</f>
        <v> </v>
      </c>
      <c r="I36" s="41">
        <f t="shared" si="3"/>
        <v>0</v>
      </c>
      <c r="J36" s="41">
        <f t="shared" si="5"/>
        <v>-4166</v>
      </c>
      <c r="K36" s="41">
        <f t="shared" si="5"/>
        <v>-17577</v>
      </c>
      <c r="L36" s="41"/>
      <c r="M36" s="41">
        <v>0</v>
      </c>
      <c r="N36" s="41">
        <v>-4318.65</v>
      </c>
      <c r="O36" s="41">
        <v>-18222.4</v>
      </c>
      <c r="P36" s="41"/>
      <c r="Q36" s="41">
        <v>0</v>
      </c>
      <c r="R36" s="41">
        <v>-4013.1</v>
      </c>
      <c r="S36" s="41">
        <v>-16932.3</v>
      </c>
    </row>
    <row r="37" spans="1:19" ht="12.75">
      <c r="A37" s="95">
        <f t="shared" si="4"/>
        <v>21</v>
      </c>
      <c r="B37" s="41" t="s">
        <v>210</v>
      </c>
      <c r="C37" s="41">
        <f t="shared" si="0"/>
        <v>0</v>
      </c>
      <c r="D37" s="41">
        <f t="shared" si="1"/>
        <v>0</v>
      </c>
      <c r="E37" s="41"/>
      <c r="F37" s="41"/>
      <c r="G37" s="41">
        <f t="shared" si="2"/>
        <v>0</v>
      </c>
      <c r="H37" s="94" t="str">
        <f t="shared" si="6"/>
        <v> </v>
      </c>
      <c r="I37" s="41">
        <f t="shared" si="3"/>
        <v>0</v>
      </c>
      <c r="J37" s="41">
        <f t="shared" si="5"/>
        <v>0</v>
      </c>
      <c r="K37" s="41">
        <f t="shared" si="5"/>
        <v>0</v>
      </c>
      <c r="L37" s="41"/>
      <c r="M37" s="41">
        <v>0</v>
      </c>
      <c r="N37" s="41">
        <v>0</v>
      </c>
      <c r="O37" s="41">
        <v>0</v>
      </c>
      <c r="P37" s="41"/>
      <c r="Q37" s="41">
        <v>0</v>
      </c>
      <c r="R37" s="41">
        <v>0</v>
      </c>
      <c r="S37" s="41">
        <v>0</v>
      </c>
    </row>
    <row r="38" spans="1:19" ht="12.75">
      <c r="A38" s="95">
        <f t="shared" si="4"/>
        <v>22</v>
      </c>
      <c r="B38" s="41" t="s">
        <v>655</v>
      </c>
      <c r="C38" s="41">
        <f t="shared" si="0"/>
        <v>94915.7</v>
      </c>
      <c r="D38" s="41">
        <f t="shared" si="1"/>
        <v>90601.95</v>
      </c>
      <c r="E38" s="41"/>
      <c r="F38" s="41"/>
      <c r="G38" s="41">
        <f t="shared" si="2"/>
        <v>92759</v>
      </c>
      <c r="H38" s="94" t="str">
        <f t="shared" si="6"/>
        <v> </v>
      </c>
      <c r="I38" s="41">
        <f t="shared" si="3"/>
        <v>0</v>
      </c>
      <c r="J38" s="41">
        <f t="shared" si="5"/>
        <v>2032</v>
      </c>
      <c r="K38" s="41">
        <f t="shared" si="5"/>
        <v>90727</v>
      </c>
      <c r="L38" s="41"/>
      <c r="M38" s="41">
        <v>0</v>
      </c>
      <c r="N38" s="41">
        <f>-34544.3+38733</f>
        <v>4188.699999999997</v>
      </c>
      <c r="O38" s="41">
        <f>90727</f>
        <v>90727</v>
      </c>
      <c r="P38" s="41"/>
      <c r="Q38" s="41">
        <v>0</v>
      </c>
      <c r="R38" s="41">
        <f>-38858.05+38733</f>
        <v>-125.05000000000291</v>
      </c>
      <c r="S38" s="41">
        <v>90727</v>
      </c>
    </row>
    <row r="39" spans="1:19" ht="12.75">
      <c r="A39" s="95">
        <f t="shared" si="4"/>
        <v>23</v>
      </c>
      <c r="B39" s="41" t="s">
        <v>656</v>
      </c>
      <c r="C39" s="41">
        <f>SUM(M39:O39)</f>
        <v>1191.75</v>
      </c>
      <c r="D39" s="41">
        <f t="shared" si="1"/>
        <v>5505.5</v>
      </c>
      <c r="E39" s="41"/>
      <c r="F39" s="41"/>
      <c r="G39" s="41">
        <f t="shared" si="2"/>
        <v>3349</v>
      </c>
      <c r="H39" s="94" t="str">
        <f>IF((SUM(I39:K39)-G39)&gt;1,"E"," ")</f>
        <v> </v>
      </c>
      <c r="I39" s="41">
        <f t="shared" si="3"/>
        <v>0</v>
      </c>
      <c r="J39" s="41">
        <f t="shared" si="5"/>
        <v>3349</v>
      </c>
      <c r="K39" s="41">
        <f t="shared" si="5"/>
        <v>0</v>
      </c>
      <c r="L39" s="41"/>
      <c r="M39" s="41">
        <v>0</v>
      </c>
      <c r="N39" s="41">
        <v>1191.75</v>
      </c>
      <c r="O39" s="41">
        <v>0</v>
      </c>
      <c r="P39" s="41"/>
      <c r="Q39" s="41">
        <v>0</v>
      </c>
      <c r="R39" s="41">
        <v>5505.5</v>
      </c>
      <c r="S39" s="41">
        <v>0</v>
      </c>
    </row>
    <row r="40" spans="1:19" ht="12.75">
      <c r="A40" s="95">
        <f t="shared" si="4"/>
        <v>24</v>
      </c>
      <c r="B40" s="41" t="s">
        <v>216</v>
      </c>
      <c r="C40" s="41">
        <f t="shared" si="0"/>
        <v>2369.1</v>
      </c>
      <c r="D40" s="41">
        <f t="shared" si="1"/>
        <v>2369.1</v>
      </c>
      <c r="E40" s="41"/>
      <c r="F40" s="41"/>
      <c r="G40" s="41">
        <f t="shared" si="2"/>
        <v>2369</v>
      </c>
      <c r="H40" s="94" t="str">
        <f t="shared" si="6"/>
        <v> </v>
      </c>
      <c r="I40" s="41">
        <f t="shared" si="3"/>
        <v>0</v>
      </c>
      <c r="J40" s="41">
        <f t="shared" si="5"/>
        <v>0</v>
      </c>
      <c r="K40" s="41">
        <f t="shared" si="5"/>
        <v>2369</v>
      </c>
      <c r="L40" s="41"/>
      <c r="M40" s="41">
        <v>0</v>
      </c>
      <c r="N40" s="41">
        <v>0</v>
      </c>
      <c r="O40" s="41">
        <v>2369.1</v>
      </c>
      <c r="P40" s="41"/>
      <c r="Q40" s="41">
        <v>0</v>
      </c>
      <c r="R40" s="41">
        <v>0</v>
      </c>
      <c r="S40" s="41">
        <v>2369.1</v>
      </c>
    </row>
    <row r="41" spans="1:19" ht="12.75">
      <c r="A41" s="95">
        <f t="shared" si="4"/>
        <v>25</v>
      </c>
      <c r="B41" s="41" t="s">
        <v>219</v>
      </c>
      <c r="C41" s="41">
        <f>SUM(M41:O41)</f>
        <v>-3192</v>
      </c>
      <c r="D41" s="41">
        <f t="shared" si="1"/>
        <v>-3223.5</v>
      </c>
      <c r="E41" s="41"/>
      <c r="F41" s="41"/>
      <c r="G41" s="41">
        <f t="shared" si="2"/>
        <v>-3208</v>
      </c>
      <c r="H41" s="94" t="str">
        <f>IF((SUM(I41:K41)-G41)&gt;1,"E"," ")</f>
        <v> </v>
      </c>
      <c r="I41" s="41">
        <f t="shared" si="3"/>
        <v>0</v>
      </c>
      <c r="J41" s="41">
        <f t="shared" si="5"/>
        <v>0</v>
      </c>
      <c r="K41" s="41">
        <f t="shared" si="5"/>
        <v>-3208</v>
      </c>
      <c r="L41" s="41"/>
      <c r="M41" s="41">
        <v>0</v>
      </c>
      <c r="N41" s="41">
        <v>0</v>
      </c>
      <c r="O41" s="41">
        <v>-3192</v>
      </c>
      <c r="P41" s="41"/>
      <c r="Q41" s="41">
        <v>0</v>
      </c>
      <c r="R41" s="41">
        <v>0</v>
      </c>
      <c r="S41" s="41">
        <v>-3223.5</v>
      </c>
    </row>
    <row r="42" spans="1:19" ht="12.75">
      <c r="A42" s="95">
        <f t="shared" si="4"/>
        <v>26</v>
      </c>
      <c r="B42" s="41" t="s">
        <v>135</v>
      </c>
      <c r="C42" s="41">
        <f t="shared" si="0"/>
        <v>0</v>
      </c>
      <c r="D42" s="41">
        <f>SUM(Q42:S42)</f>
        <v>0</v>
      </c>
      <c r="E42" s="41"/>
      <c r="F42" s="41"/>
      <c r="G42" s="41">
        <f t="shared" si="2"/>
        <v>0</v>
      </c>
      <c r="H42" s="94" t="str">
        <f t="shared" si="6"/>
        <v> </v>
      </c>
      <c r="I42" s="41">
        <f>(+M42+Q42)/2</f>
        <v>0</v>
      </c>
      <c r="J42" s="41">
        <f t="shared" si="5"/>
        <v>0</v>
      </c>
      <c r="K42" s="41">
        <f t="shared" si="5"/>
        <v>0</v>
      </c>
      <c r="L42" s="41"/>
      <c r="M42" s="41">
        <v>0</v>
      </c>
      <c r="N42" s="41">
        <v>0</v>
      </c>
      <c r="O42" s="41">
        <v>0</v>
      </c>
      <c r="P42" s="41"/>
      <c r="Q42" s="41">
        <v>0</v>
      </c>
      <c r="R42" s="41">
        <v>0</v>
      </c>
      <c r="S42" s="41">
        <v>0</v>
      </c>
    </row>
    <row r="43" spans="1:19" ht="12.75">
      <c r="A43" s="95">
        <f t="shared" si="4"/>
        <v>27</v>
      </c>
      <c r="B43" s="41" t="s">
        <v>220</v>
      </c>
      <c r="C43" s="41">
        <f>SUM(M43:O43)</f>
        <v>94</v>
      </c>
      <c r="D43" s="41">
        <f>SUM(Q43:S43)</f>
        <v>101</v>
      </c>
      <c r="E43" s="41"/>
      <c r="F43" s="41"/>
      <c r="G43" s="41">
        <f>ROUND(SUM(C43:F43)/2,0)</f>
        <v>98</v>
      </c>
      <c r="H43" s="94" t="str">
        <f>IF((SUM(I43:K43)-G43)&gt;1,"E"," ")</f>
        <v> </v>
      </c>
      <c r="I43" s="41">
        <f>(+M43+Q43)/2</f>
        <v>0</v>
      </c>
      <c r="J43" s="41">
        <f t="shared" si="5"/>
        <v>98</v>
      </c>
      <c r="K43" s="41">
        <f t="shared" si="5"/>
        <v>0</v>
      </c>
      <c r="L43" s="41"/>
      <c r="M43" s="41">
        <v>0</v>
      </c>
      <c r="N43" s="41">
        <v>94</v>
      </c>
      <c r="O43" s="41">
        <v>0</v>
      </c>
      <c r="P43" s="41"/>
      <c r="Q43" s="41">
        <v>0</v>
      </c>
      <c r="R43" s="41">
        <v>101</v>
      </c>
      <c r="S43" s="41">
        <v>0</v>
      </c>
    </row>
    <row r="44" spans="1:19" ht="12.75">
      <c r="A44" s="95">
        <f t="shared" si="4"/>
        <v>28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.75">
      <c r="A45" s="95">
        <f t="shared" si="4"/>
        <v>29</v>
      </c>
      <c r="B45" s="41" t="s">
        <v>657</v>
      </c>
      <c r="C45" s="41">
        <v>-56703.44</v>
      </c>
      <c r="D45" s="41">
        <v>-52705.64</v>
      </c>
      <c r="E45" s="41">
        <f aca="true" t="shared" si="7" ref="E45:F47">-C45</f>
        <v>56703.44</v>
      </c>
      <c r="F45" s="41">
        <f t="shared" si="7"/>
        <v>52705.64</v>
      </c>
      <c r="G45" s="41">
        <f>ROUND(SUM(C45:F45)/2,0)</f>
        <v>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.75">
      <c r="A46" s="95">
        <f t="shared" si="4"/>
        <v>30</v>
      </c>
      <c r="B46" s="41" t="s">
        <v>221</v>
      </c>
      <c r="C46" s="41">
        <v>2636887.47</v>
      </c>
      <c r="D46" s="41">
        <v>3107794.67</v>
      </c>
      <c r="E46" s="41">
        <f t="shared" si="7"/>
        <v>-2636887.47</v>
      </c>
      <c r="F46" s="41">
        <f t="shared" si="7"/>
        <v>-3107794.67</v>
      </c>
      <c r="G46" s="41">
        <f>ROUND(SUM(C46:F46)/2,0)</f>
        <v>0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.75">
      <c r="A47" s="95">
        <f t="shared" si="4"/>
        <v>31</v>
      </c>
      <c r="B47" s="41" t="s">
        <v>222</v>
      </c>
      <c r="C47" s="41">
        <v>518</v>
      </c>
      <c r="D47" s="41">
        <v>-729.08</v>
      </c>
      <c r="E47" s="41">
        <f t="shared" si="7"/>
        <v>-518</v>
      </c>
      <c r="F47" s="41">
        <f t="shared" si="7"/>
        <v>729.08</v>
      </c>
      <c r="G47" s="41">
        <f>ROUND(SUM(C47:F47)/2,0)</f>
        <v>0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5">
      <c r="A48" s="95">
        <f t="shared" si="4"/>
        <v>32</v>
      </c>
      <c r="B48" s="20" t="s">
        <v>223</v>
      </c>
      <c r="C48" s="41">
        <v>0</v>
      </c>
      <c r="D48" s="41">
        <v>0</v>
      </c>
      <c r="E48" s="41">
        <f>-C48</f>
        <v>0</v>
      </c>
      <c r="F48" s="41">
        <f>-D48</f>
        <v>0</v>
      </c>
      <c r="G48" s="41">
        <f>ROUND(SUM(C48:F48)/2,0)</f>
        <v>0</v>
      </c>
      <c r="H48" s="96"/>
      <c r="I48" s="41"/>
      <c r="J48" s="41"/>
      <c r="K48" s="41"/>
      <c r="L48" s="96"/>
      <c r="M48" s="41"/>
      <c r="N48" s="41"/>
      <c r="O48" s="41"/>
      <c r="P48" s="41"/>
      <c r="Q48" s="41"/>
      <c r="R48" s="41"/>
      <c r="S48" s="41"/>
    </row>
    <row r="49" spans="1:19" ht="12.75">
      <c r="A49" s="95">
        <f t="shared" si="4"/>
        <v>33</v>
      </c>
      <c r="B49" s="41" t="s">
        <v>224</v>
      </c>
      <c r="C49" s="41">
        <v>255620.91</v>
      </c>
      <c r="D49" s="41">
        <v>-521608.5</v>
      </c>
      <c r="E49" s="41">
        <f>-C49</f>
        <v>-255620.91</v>
      </c>
      <c r="F49" s="41">
        <f>-D49</f>
        <v>521608.5</v>
      </c>
      <c r="G49" s="41">
        <f>ROUND(SUM(C49:F49)/2,0)</f>
        <v>0</v>
      </c>
      <c r="H49" s="96"/>
      <c r="I49" s="41"/>
      <c r="J49" s="41"/>
      <c r="K49" s="41"/>
      <c r="L49" s="96"/>
      <c r="M49" s="41"/>
      <c r="N49" s="41"/>
      <c r="O49" s="41"/>
      <c r="P49" s="41"/>
      <c r="Q49" s="41"/>
      <c r="R49" s="41"/>
      <c r="S49" s="41"/>
    </row>
    <row r="50" spans="1:19" ht="12.75">
      <c r="A50" s="95">
        <f t="shared" si="4"/>
        <v>34</v>
      </c>
      <c r="B50" s="41"/>
      <c r="C50" s="41"/>
      <c r="D50" s="41"/>
      <c r="E50" s="41"/>
      <c r="F50" s="41"/>
      <c r="G50" s="41"/>
      <c r="H50" s="96"/>
      <c r="I50" s="41"/>
      <c r="J50" s="41"/>
      <c r="K50" s="41"/>
      <c r="L50" s="96"/>
      <c r="M50" s="41"/>
      <c r="N50" s="41"/>
      <c r="O50" s="41"/>
      <c r="P50" s="41"/>
      <c r="Q50" s="41"/>
      <c r="R50" s="41"/>
      <c r="S50" s="41"/>
    </row>
    <row r="51" spans="1:19" ht="13.5" thickBot="1">
      <c r="A51" s="95">
        <f t="shared" si="4"/>
        <v>35</v>
      </c>
      <c r="B51" s="41" t="s">
        <v>228</v>
      </c>
      <c r="C51" s="54">
        <f>SUM(C17:C50)</f>
        <v>5547213.32</v>
      </c>
      <c r="D51" s="54">
        <f>SUM(D17:D50)</f>
        <v>5329384.160000001</v>
      </c>
      <c r="E51" s="54">
        <f>SUM(E17:E50)</f>
        <v>-2836322.9400000004</v>
      </c>
      <c r="F51" s="54">
        <f>SUM(F17:F50)</f>
        <v>-2532751.4499999997</v>
      </c>
      <c r="G51" s="54">
        <f>SUM(G17:G50)</f>
        <v>2753763</v>
      </c>
      <c r="H51" s="96"/>
      <c r="I51" s="54">
        <f>SUM(I17:I50)</f>
        <v>0</v>
      </c>
      <c r="J51" s="54">
        <f>SUM(J17:J50)</f>
        <v>518280</v>
      </c>
      <c r="K51" s="54">
        <f>SUM(K17:K50)</f>
        <v>2235480</v>
      </c>
      <c r="L51" s="96"/>
      <c r="M51" s="54">
        <f>SUM(M17:M50)</f>
        <v>0</v>
      </c>
      <c r="N51" s="54">
        <f>SUM(N17:N50)</f>
        <v>259728.73999999993</v>
      </c>
      <c r="O51" s="54">
        <f>SUM(O17:O50)</f>
        <v>2451161.64</v>
      </c>
      <c r="P51" s="41"/>
      <c r="Q51" s="54">
        <f>SUM(Q17:Q50)</f>
        <v>0</v>
      </c>
      <c r="R51" s="54">
        <f>SUM(R17:R50)</f>
        <v>776831.44</v>
      </c>
      <c r="S51" s="54">
        <f>SUM(S17:S50)</f>
        <v>2019801.27</v>
      </c>
    </row>
    <row r="52" spans="1:19" ht="13.5" thickTop="1">
      <c r="A52" s="97"/>
      <c r="B52" s="41"/>
      <c r="C52" s="55"/>
      <c r="D52" s="55"/>
      <c r="E52" s="55"/>
      <c r="F52" s="55"/>
      <c r="G52" s="55"/>
      <c r="H52" s="96"/>
      <c r="I52" s="55"/>
      <c r="J52" s="55"/>
      <c r="K52" s="55"/>
      <c r="L52" s="96"/>
      <c r="M52" s="55"/>
      <c r="N52" s="55"/>
      <c r="O52" s="55"/>
      <c r="P52" s="41"/>
      <c r="Q52" s="55"/>
      <c r="R52" s="55"/>
      <c r="S52" s="55"/>
    </row>
  </sheetData>
  <sheetProtection/>
  <printOptions/>
  <pageMargins left="0.5" right="0.25" top="0.75" bottom="0.5" header="0.25" footer="0.25"/>
  <pageSetup horizontalDpi="600" verticalDpi="600" orientation="portrait" scale="75" r:id="rId1"/>
  <headerFooter alignWithMargins="0">
    <oddHeader>&amp;RSTATEMENT AG-3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81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8" sqref="A18"/>
    </sheetView>
  </sheetViews>
  <sheetFormatPr defaultColWidth="12.7109375" defaultRowHeight="15"/>
  <cols>
    <col min="1" max="1" width="5.8515625" style="3" customWidth="1"/>
    <col min="2" max="2" width="48.28125" style="1" customWidth="1"/>
    <col min="3" max="3" width="14.140625" style="1" customWidth="1"/>
    <col min="4" max="4" width="13.57421875" style="1" customWidth="1"/>
    <col min="5" max="5" width="15.8515625" style="1" hidden="1" customWidth="1"/>
    <col min="6" max="6" width="16.421875" style="1" hidden="1" customWidth="1"/>
    <col min="7" max="7" width="18.421875" style="1" hidden="1" customWidth="1"/>
    <col min="8" max="8" width="3.140625" style="1" hidden="1" customWidth="1"/>
    <col min="9" max="11" width="18.421875" style="1" hidden="1" customWidth="1"/>
    <col min="12" max="12" width="3.00390625" style="1" customWidth="1"/>
    <col min="13" max="13" width="14.00390625" style="1" customWidth="1"/>
    <col min="14" max="14" width="15.8515625" style="1" customWidth="1"/>
    <col min="15" max="15" width="15.140625" style="1" customWidth="1"/>
    <col min="16" max="16" width="2.8515625" style="1" customWidth="1"/>
    <col min="17" max="17" width="14.140625" style="1" customWidth="1"/>
    <col min="18" max="18" width="15.8515625" style="1" customWidth="1"/>
    <col min="19" max="19" width="19.28125" style="1" customWidth="1"/>
    <col min="20" max="20" width="17.7109375" style="1" bestFit="1" customWidth="1"/>
    <col min="21" max="16384" width="12.7109375" style="1" customWidth="1"/>
  </cols>
  <sheetData>
    <row r="1" spans="1:25" ht="15">
      <c r="A1" s="28"/>
      <c r="B1" s="8" t="s">
        <v>0</v>
      </c>
      <c r="C1" s="29"/>
      <c r="D1" s="29"/>
      <c r="E1" s="29"/>
      <c r="F1" s="9"/>
      <c r="G1" s="19"/>
      <c r="H1" s="19"/>
      <c r="I1" s="19"/>
      <c r="J1" s="19"/>
      <c r="K1" s="19"/>
      <c r="L1" s="19"/>
      <c r="M1" s="9"/>
      <c r="N1" s="9"/>
      <c r="O1" s="19"/>
      <c r="P1" s="9"/>
      <c r="Q1" s="9"/>
      <c r="R1" s="9"/>
      <c r="S1" s="19"/>
      <c r="T1" s="2"/>
      <c r="U1" s="2"/>
      <c r="V1" s="2"/>
      <c r="W1" s="2"/>
      <c r="X1" s="2"/>
      <c r="Y1" s="2"/>
    </row>
    <row r="2" spans="1:25" ht="15">
      <c r="A2" s="28"/>
      <c r="B2" s="8" t="s">
        <v>146</v>
      </c>
      <c r="C2" s="29"/>
      <c r="D2" s="29"/>
      <c r="E2" s="29"/>
      <c r="F2" s="29"/>
      <c r="G2" s="30"/>
      <c r="H2" s="30"/>
      <c r="I2" s="30"/>
      <c r="J2" s="30"/>
      <c r="K2" s="30"/>
      <c r="L2" s="30"/>
      <c r="M2" s="9"/>
      <c r="N2" s="9"/>
      <c r="O2" s="30"/>
      <c r="P2" s="9"/>
      <c r="Q2" s="9"/>
      <c r="R2" s="9"/>
      <c r="S2" s="30"/>
      <c r="T2" s="2"/>
      <c r="U2" s="2"/>
      <c r="V2" s="2"/>
      <c r="W2" s="2"/>
      <c r="X2" s="2"/>
      <c r="Y2" s="2"/>
    </row>
    <row r="3" spans="1:25" ht="15">
      <c r="A3" s="28"/>
      <c r="B3" s="8" t="s">
        <v>658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9"/>
      <c r="S3" s="9"/>
      <c r="T3" s="2"/>
      <c r="U3" s="2"/>
      <c r="V3" s="2"/>
      <c r="W3" s="2"/>
      <c r="X3" s="2"/>
      <c r="Y3" s="2"/>
    </row>
    <row r="4" spans="1:25" ht="15">
      <c r="A4" s="28"/>
      <c r="B4" s="22"/>
      <c r="C4" s="29"/>
      <c r="D4" s="29"/>
      <c r="E4" s="29"/>
      <c r="F4" s="29"/>
      <c r="G4" s="29"/>
      <c r="H4" s="29"/>
      <c r="I4" s="29"/>
      <c r="J4" s="29"/>
      <c r="K4" s="29"/>
      <c r="L4" s="29"/>
      <c r="M4" s="9"/>
      <c r="N4" s="9"/>
      <c r="O4" s="9"/>
      <c r="P4" s="9"/>
      <c r="Q4" s="9"/>
      <c r="R4" s="9"/>
      <c r="S4" s="9"/>
      <c r="T4" s="2"/>
      <c r="U4" s="2"/>
      <c r="V4" s="2"/>
      <c r="W4" s="2"/>
      <c r="X4" s="2"/>
      <c r="Y4" s="2"/>
    </row>
    <row r="5" spans="1:25" ht="15">
      <c r="A5" s="28"/>
      <c r="B5" s="12"/>
      <c r="C5" s="29"/>
      <c r="D5" s="29"/>
      <c r="E5" s="29"/>
      <c r="F5" s="29"/>
      <c r="G5" s="29"/>
      <c r="H5" s="29"/>
      <c r="I5" s="29"/>
      <c r="J5" s="29"/>
      <c r="K5" s="29"/>
      <c r="L5" s="29"/>
      <c r="M5" s="9"/>
      <c r="N5" s="9"/>
      <c r="O5" s="9"/>
      <c r="P5" s="9"/>
      <c r="Q5" s="9"/>
      <c r="R5" s="9"/>
      <c r="S5" s="9"/>
      <c r="T5" s="2"/>
      <c r="U5" s="2"/>
      <c r="V5" s="2"/>
      <c r="W5" s="2"/>
      <c r="X5" s="2"/>
      <c r="Y5" s="2"/>
    </row>
    <row r="6" spans="1:25" ht="15">
      <c r="A6" s="28"/>
      <c r="B6" s="9"/>
      <c r="C6" s="29"/>
      <c r="D6" s="29"/>
      <c r="E6" s="29"/>
      <c r="F6" s="29"/>
      <c r="G6" s="31" t="s">
        <v>147</v>
      </c>
      <c r="H6" s="31"/>
      <c r="I6" s="31"/>
      <c r="J6" s="31"/>
      <c r="K6" s="31"/>
      <c r="L6" s="31"/>
      <c r="M6" s="9"/>
      <c r="N6" s="9"/>
      <c r="O6" s="9"/>
      <c r="P6" s="9"/>
      <c r="Q6" s="9"/>
      <c r="R6" s="9"/>
      <c r="S6" s="9"/>
      <c r="T6" s="2"/>
      <c r="U6" s="2"/>
      <c r="V6" s="2"/>
      <c r="W6" s="2"/>
      <c r="X6" s="2"/>
      <c r="Y6" s="2"/>
    </row>
    <row r="7" spans="1:25" ht="15">
      <c r="A7" s="28"/>
      <c r="B7" s="9"/>
      <c r="C7" s="29"/>
      <c r="D7" s="29"/>
      <c r="E7" s="29"/>
      <c r="F7" s="29"/>
      <c r="G7" s="29"/>
      <c r="H7" s="29"/>
      <c r="I7" s="29"/>
      <c r="J7" s="29"/>
      <c r="K7" s="29"/>
      <c r="L7" s="29"/>
      <c r="M7" s="9"/>
      <c r="N7" s="9"/>
      <c r="O7" s="9"/>
      <c r="P7" s="9"/>
      <c r="Q7" s="9"/>
      <c r="R7" s="9"/>
      <c r="S7" s="9"/>
      <c r="T7" s="2"/>
      <c r="U7" s="2"/>
      <c r="V7" s="2"/>
      <c r="W7" s="2"/>
      <c r="X7" s="2"/>
      <c r="Y7" s="2"/>
    </row>
    <row r="8" spans="1:25" ht="15">
      <c r="A8" s="28"/>
      <c r="B8" s="13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  <c r="J8" s="32" t="s">
        <v>10</v>
      </c>
      <c r="K8" s="32" t="s">
        <v>11</v>
      </c>
      <c r="L8" s="32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  <c r="T8" s="2"/>
      <c r="U8" s="2"/>
      <c r="V8" s="2"/>
      <c r="W8" s="2"/>
      <c r="X8" s="2"/>
      <c r="Y8" s="2"/>
    </row>
    <row r="9" spans="1:25" ht="15">
      <c r="A9" s="28"/>
      <c r="B9" s="9"/>
      <c r="C9" s="29"/>
      <c r="D9" s="29"/>
      <c r="E9" s="29"/>
      <c r="F9" s="29"/>
      <c r="G9" s="29"/>
      <c r="H9" s="29"/>
      <c r="I9" s="29"/>
      <c r="J9" s="29"/>
      <c r="K9" s="29"/>
      <c r="L9" s="29"/>
      <c r="M9" s="9"/>
      <c r="N9" s="9"/>
      <c r="O9" s="9"/>
      <c r="P9" s="9"/>
      <c r="Q9" s="9"/>
      <c r="R9" s="9"/>
      <c r="S9" s="9"/>
      <c r="T9" s="2"/>
      <c r="U9" s="2"/>
      <c r="V9" s="2"/>
      <c r="W9" s="2"/>
      <c r="X9" s="2"/>
      <c r="Y9" s="2"/>
    </row>
    <row r="10" spans="1:25" ht="15">
      <c r="A10" s="28"/>
      <c r="B10" s="9"/>
      <c r="C10" s="33" t="s">
        <v>18</v>
      </c>
      <c r="D10" s="33"/>
      <c r="E10" s="34" t="s">
        <v>19</v>
      </c>
      <c r="F10" s="33"/>
      <c r="G10" s="35" t="s">
        <v>20</v>
      </c>
      <c r="H10" s="35"/>
      <c r="I10" s="36" t="s">
        <v>21</v>
      </c>
      <c r="J10" s="33"/>
      <c r="K10" s="33"/>
      <c r="L10" s="35"/>
      <c r="M10" s="37" t="s">
        <v>22</v>
      </c>
      <c r="N10" s="14"/>
      <c r="O10" s="14"/>
      <c r="P10" s="9"/>
      <c r="Q10" s="37" t="s">
        <v>659</v>
      </c>
      <c r="R10" s="14"/>
      <c r="S10" s="14"/>
      <c r="T10" s="2"/>
      <c r="U10" s="2"/>
      <c r="V10" s="2"/>
      <c r="W10" s="2"/>
      <c r="X10" s="2"/>
      <c r="Y10" s="2"/>
    </row>
    <row r="11" spans="1:25" ht="15">
      <c r="A11" s="28"/>
      <c r="B11" s="9"/>
      <c r="C11" s="38"/>
      <c r="D11" s="38"/>
      <c r="E11" s="29"/>
      <c r="F11" s="29"/>
      <c r="G11" s="35" t="s">
        <v>23</v>
      </c>
      <c r="H11" s="35"/>
      <c r="I11" s="38"/>
      <c r="J11" s="38"/>
      <c r="K11" s="38"/>
      <c r="L11" s="35"/>
      <c r="M11" s="18"/>
      <c r="N11" s="18"/>
      <c r="O11" s="18"/>
      <c r="P11" s="9"/>
      <c r="Q11" s="18"/>
      <c r="R11" s="18"/>
      <c r="S11" s="18"/>
      <c r="T11" s="2"/>
      <c r="U11" s="2"/>
      <c r="V11" s="2"/>
      <c r="W11" s="2"/>
      <c r="X11" s="2"/>
      <c r="Y11" s="2"/>
    </row>
    <row r="12" spans="1:25" ht="15">
      <c r="A12" s="28"/>
      <c r="B12" s="9"/>
      <c r="C12" s="35" t="s">
        <v>24</v>
      </c>
      <c r="D12" s="35" t="s">
        <v>24</v>
      </c>
      <c r="E12" s="35" t="s">
        <v>24</v>
      </c>
      <c r="F12" s="35" t="s">
        <v>24</v>
      </c>
      <c r="G12" s="35" t="s">
        <v>25</v>
      </c>
      <c r="H12" s="35"/>
      <c r="I12" s="29"/>
      <c r="J12" s="29"/>
      <c r="K12" s="29"/>
      <c r="L12" s="35"/>
      <c r="M12" s="9"/>
      <c r="N12" s="9"/>
      <c r="O12" s="9"/>
      <c r="P12" s="9"/>
      <c r="Q12" s="9"/>
      <c r="R12" s="9"/>
      <c r="S12" s="9"/>
      <c r="T12" s="2"/>
      <c r="U12" s="2"/>
      <c r="V12" s="2"/>
      <c r="W12" s="2"/>
      <c r="X12" s="2"/>
      <c r="Y12" s="2"/>
    </row>
    <row r="13" spans="1:25" ht="15">
      <c r="A13" s="28"/>
      <c r="B13" s="13" t="s">
        <v>26</v>
      </c>
      <c r="C13" s="32" t="s">
        <v>27</v>
      </c>
      <c r="D13" s="32" t="s">
        <v>660</v>
      </c>
      <c r="E13" s="32" t="s">
        <v>27</v>
      </c>
      <c r="F13" s="32" t="s">
        <v>660</v>
      </c>
      <c r="G13" s="32" t="s">
        <v>28</v>
      </c>
      <c r="H13" s="32"/>
      <c r="I13" s="32" t="s">
        <v>29</v>
      </c>
      <c r="J13" s="32" t="s">
        <v>30</v>
      </c>
      <c r="K13" s="32" t="s">
        <v>31</v>
      </c>
      <c r="L13" s="32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  <c r="T13" s="2"/>
      <c r="U13" s="2"/>
      <c r="V13" s="2"/>
      <c r="W13" s="2"/>
      <c r="X13" s="2"/>
      <c r="Y13" s="2"/>
    </row>
    <row r="14" spans="1:25" ht="15">
      <c r="A14" s="28"/>
      <c r="B14" s="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9"/>
      <c r="N14" s="9"/>
      <c r="O14" s="9"/>
      <c r="P14" s="9"/>
      <c r="Q14" s="9"/>
      <c r="R14" s="9"/>
      <c r="S14" s="9"/>
      <c r="T14" s="2"/>
      <c r="U14" s="2"/>
      <c r="V14" s="2"/>
      <c r="W14" s="2"/>
      <c r="X14" s="2"/>
      <c r="Y14" s="2"/>
    </row>
    <row r="15" spans="1:25" ht="15">
      <c r="A15" s="39"/>
      <c r="B15" s="25" t="s">
        <v>148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15">
      <c r="A16" s="3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"/>
      <c r="U16" s="2"/>
      <c r="V16" s="2"/>
      <c r="W16" s="2"/>
      <c r="X16" s="2"/>
      <c r="Y16" s="2"/>
    </row>
    <row r="17" spans="1:25" ht="15">
      <c r="A17" s="40">
        <v>1</v>
      </c>
      <c r="B17" s="19" t="s">
        <v>149</v>
      </c>
      <c r="C17" s="20">
        <f>SUM(M17:O17)</f>
        <v>39877946.120000005</v>
      </c>
      <c r="D17" s="20">
        <f>SUM(Q17:S17)</f>
        <v>26697813.75</v>
      </c>
      <c r="E17" s="20"/>
      <c r="F17" s="20"/>
      <c r="G17" s="20">
        <f>ROUND(SUM(C17:F17)/2,0)</f>
        <v>33287880</v>
      </c>
      <c r="H17" s="20"/>
      <c r="I17" s="20">
        <f>(+M17+Q17)/2</f>
        <v>23646261.945</v>
      </c>
      <c r="J17" s="20">
        <f>(+N17+R17)/2</f>
        <v>124922.125</v>
      </c>
      <c r="K17" s="20">
        <f>(+O17+S17)/2</f>
        <v>9516695.865</v>
      </c>
      <c r="L17" s="20"/>
      <c r="M17" s="41">
        <f>8649000.89+16903500+1408000</f>
        <v>26960500.89</v>
      </c>
      <c r="N17" s="20">
        <v>249844.25</v>
      </c>
      <c r="O17" s="20">
        <f>1310461.23+9759.75+11347380</f>
        <v>12667600.98</v>
      </c>
      <c r="P17" s="20"/>
      <c r="Q17" s="20">
        <f>12928893+7403130</f>
        <v>20332023</v>
      </c>
      <c r="R17" s="20">
        <v>0</v>
      </c>
      <c r="S17" s="20">
        <f>1386131+9759.75+4969900</f>
        <v>6365790.75</v>
      </c>
      <c r="T17" s="2"/>
      <c r="U17" s="2"/>
      <c r="V17" s="2"/>
      <c r="W17" s="2"/>
      <c r="X17" s="2"/>
      <c r="Y17" s="2"/>
    </row>
    <row r="18" spans="1:25" ht="15">
      <c r="A18" s="40">
        <f aca="true" t="shared" si="0" ref="A18:A81">A17+1</f>
        <v>2</v>
      </c>
      <c r="B18" s="19" t="s">
        <v>39</v>
      </c>
      <c r="C18" s="20">
        <f>SUM(M18:O18)</f>
        <v>20489.4</v>
      </c>
      <c r="D18" s="20">
        <f>SUM(Q18:S18)</f>
        <v>20489.4</v>
      </c>
      <c r="E18" s="20"/>
      <c r="F18" s="20"/>
      <c r="G18" s="20">
        <f>ROUND(SUM(C18:F18)/2,0)</f>
        <v>20489</v>
      </c>
      <c r="H18" s="20"/>
      <c r="I18" s="20">
        <f aca="true" t="shared" si="1" ref="I18:K85">(+M18+Q18)/2</f>
        <v>0</v>
      </c>
      <c r="J18" s="20">
        <f t="shared" si="1"/>
        <v>20489.4</v>
      </c>
      <c r="K18" s="20">
        <f t="shared" si="1"/>
        <v>0</v>
      </c>
      <c r="L18" s="20"/>
      <c r="M18" s="20">
        <v>0</v>
      </c>
      <c r="N18" s="20">
        <v>20489.4</v>
      </c>
      <c r="O18" s="20">
        <v>0</v>
      </c>
      <c r="P18" s="20"/>
      <c r="Q18" s="20">
        <v>0</v>
      </c>
      <c r="R18" s="20">
        <v>20489.4</v>
      </c>
      <c r="S18" s="20">
        <v>0</v>
      </c>
      <c r="T18" s="2"/>
      <c r="U18" s="2"/>
      <c r="V18" s="2"/>
      <c r="W18" s="2"/>
      <c r="X18" s="2"/>
      <c r="Y18" s="2"/>
    </row>
    <row r="19" spans="1:25" ht="15">
      <c r="A19" s="40">
        <f t="shared" si="0"/>
        <v>3</v>
      </c>
      <c r="B19" s="20" t="s">
        <v>150</v>
      </c>
      <c r="C19" s="20">
        <f aca="true" t="shared" si="2" ref="C19:C82">SUM(M19:O19)</f>
        <v>74286011.97</v>
      </c>
      <c r="D19" s="20">
        <f aca="true" t="shared" si="3" ref="D19:D82">SUM(Q19:S19)</f>
        <v>73335203.22</v>
      </c>
      <c r="E19" s="20"/>
      <c r="F19" s="20"/>
      <c r="G19" s="20">
        <f aca="true" t="shared" si="4" ref="G19:G82">ROUND(SUM(C19:F19)/2,0)</f>
        <v>73810608</v>
      </c>
      <c r="H19" s="20"/>
      <c r="I19" s="20">
        <f t="shared" si="1"/>
        <v>56214750.315</v>
      </c>
      <c r="J19" s="20">
        <f t="shared" si="1"/>
        <v>12600826.955</v>
      </c>
      <c r="K19" s="20">
        <f t="shared" si="1"/>
        <v>4995030.325</v>
      </c>
      <c r="L19" s="20"/>
      <c r="M19" s="20">
        <v>56798249.82</v>
      </c>
      <c r="N19" s="20">
        <f>17396939.5-4939172</f>
        <v>12457767.5</v>
      </c>
      <c r="O19" s="20">
        <f>9250361.65-4220367</f>
        <v>5029994.65</v>
      </c>
      <c r="P19" s="20"/>
      <c r="Q19" s="20">
        <f>68343516.81-12712266</f>
        <v>55631250.81</v>
      </c>
      <c r="R19" s="20">
        <f>18277073.41-5533187</f>
        <v>12743886.41</v>
      </c>
      <c r="S19" s="20">
        <f>9494599-4534533</f>
        <v>4960066</v>
      </c>
      <c r="T19" s="2"/>
      <c r="U19" s="2"/>
      <c r="V19" s="2"/>
      <c r="W19" s="2"/>
      <c r="X19" s="2"/>
      <c r="Y19" s="2"/>
    </row>
    <row r="20" spans="1:25" ht="15">
      <c r="A20" s="40">
        <f t="shared" si="0"/>
        <v>4</v>
      </c>
      <c r="B20" s="25" t="s">
        <v>151</v>
      </c>
      <c r="C20" s="20">
        <f>SUM(M20:O20)</f>
        <v>0</v>
      </c>
      <c r="D20" s="20">
        <f>SUM(Q20:S20)</f>
        <v>0</v>
      </c>
      <c r="E20" s="20"/>
      <c r="F20" s="20"/>
      <c r="G20" s="20">
        <f>ROUND(SUM(C20:F20)/2,0)</f>
        <v>0</v>
      </c>
      <c r="H20" s="20"/>
      <c r="I20" s="20">
        <f t="shared" si="1"/>
        <v>0</v>
      </c>
      <c r="J20" s="20">
        <f t="shared" si="1"/>
        <v>0</v>
      </c>
      <c r="K20" s="20">
        <f t="shared" si="1"/>
        <v>0</v>
      </c>
      <c r="L20" s="20"/>
      <c r="M20" s="20">
        <v>0</v>
      </c>
      <c r="N20" s="20">
        <v>0</v>
      </c>
      <c r="O20" s="20">
        <v>0</v>
      </c>
      <c r="P20" s="20"/>
      <c r="Q20" s="20">
        <v>0</v>
      </c>
      <c r="R20" s="20">
        <v>0</v>
      </c>
      <c r="S20" s="20">
        <v>0</v>
      </c>
      <c r="T20" s="2"/>
      <c r="U20" s="2"/>
      <c r="V20" s="2"/>
      <c r="W20" s="2"/>
      <c r="X20" s="2"/>
      <c r="Y20" s="2"/>
    </row>
    <row r="21" spans="1:25" ht="15">
      <c r="A21" s="40">
        <f t="shared" si="0"/>
        <v>5</v>
      </c>
      <c r="B21" s="25" t="s">
        <v>152</v>
      </c>
      <c r="C21" s="20">
        <f t="shared" si="2"/>
        <v>6616971.029999999</v>
      </c>
      <c r="D21" s="20">
        <f t="shared" si="3"/>
        <v>6374976.69</v>
      </c>
      <c r="E21" s="20"/>
      <c r="F21" s="20"/>
      <c r="G21" s="20">
        <f t="shared" si="4"/>
        <v>6495974</v>
      </c>
      <c r="H21" s="20"/>
      <c r="I21" s="20">
        <f t="shared" si="1"/>
        <v>0</v>
      </c>
      <c r="J21" s="20">
        <f t="shared" si="1"/>
        <v>156065.675</v>
      </c>
      <c r="K21" s="20">
        <f t="shared" si="1"/>
        <v>6339908.1850000005</v>
      </c>
      <c r="L21" s="20"/>
      <c r="M21" s="20">
        <v>0</v>
      </c>
      <c r="N21" s="20">
        <v>87922.6</v>
      </c>
      <c r="O21" s="20">
        <v>6529048.43</v>
      </c>
      <c r="P21" s="20"/>
      <c r="Q21" s="20">
        <v>0</v>
      </c>
      <c r="R21" s="20">
        <v>224208.75</v>
      </c>
      <c r="S21" s="20">
        <v>6150767.94</v>
      </c>
      <c r="T21" s="2"/>
      <c r="U21" s="2"/>
      <c r="V21" s="2"/>
      <c r="W21" s="2"/>
      <c r="X21" s="2"/>
      <c r="Y21" s="2"/>
    </row>
    <row r="22" spans="1:25" ht="15">
      <c r="A22" s="40">
        <f t="shared" si="0"/>
        <v>6</v>
      </c>
      <c r="B22" s="25" t="s">
        <v>153</v>
      </c>
      <c r="C22" s="20">
        <f t="shared" si="2"/>
        <v>1205211.17</v>
      </c>
      <c r="D22" s="20">
        <f t="shared" si="3"/>
        <v>620222.22</v>
      </c>
      <c r="E22" s="20"/>
      <c r="F22" s="20"/>
      <c r="G22" s="20">
        <f t="shared" si="4"/>
        <v>912717</v>
      </c>
      <c r="H22" s="20"/>
      <c r="I22" s="20">
        <f t="shared" si="1"/>
        <v>0</v>
      </c>
      <c r="J22" s="20">
        <f t="shared" si="1"/>
        <v>912716.695</v>
      </c>
      <c r="K22" s="20">
        <f t="shared" si="1"/>
        <v>0</v>
      </c>
      <c r="L22" s="20"/>
      <c r="M22" s="20">
        <v>0</v>
      </c>
      <c r="N22" s="20">
        <v>1205211.17</v>
      </c>
      <c r="O22" s="20">
        <v>0</v>
      </c>
      <c r="P22" s="20"/>
      <c r="Q22" s="20">
        <v>0</v>
      </c>
      <c r="R22" s="20">
        <v>620222.22</v>
      </c>
      <c r="S22" s="20">
        <v>0</v>
      </c>
      <c r="T22" s="2"/>
      <c r="U22" s="2"/>
      <c r="V22" s="2"/>
      <c r="W22" s="2"/>
      <c r="X22" s="2"/>
      <c r="Y22" s="2"/>
    </row>
    <row r="23" spans="1:25" ht="15">
      <c r="A23" s="40">
        <f t="shared" si="0"/>
        <v>7</v>
      </c>
      <c r="B23" s="25" t="s">
        <v>154</v>
      </c>
      <c r="C23" s="20">
        <f t="shared" si="2"/>
        <v>2612655.13</v>
      </c>
      <c r="D23" s="20">
        <f t="shared" si="3"/>
        <v>3005552.13</v>
      </c>
      <c r="E23" s="20"/>
      <c r="F23" s="20"/>
      <c r="G23" s="20">
        <f t="shared" si="4"/>
        <v>2809104</v>
      </c>
      <c r="H23" s="20"/>
      <c r="I23" s="20">
        <f t="shared" si="1"/>
        <v>0</v>
      </c>
      <c r="J23" s="20">
        <f t="shared" si="1"/>
        <v>3655.0750000000007</v>
      </c>
      <c r="K23" s="20">
        <f t="shared" si="1"/>
        <v>2805448.5549999997</v>
      </c>
      <c r="L23" s="20"/>
      <c r="M23" s="20">
        <v>0</v>
      </c>
      <c r="N23" s="20">
        <v>-24189.35</v>
      </c>
      <c r="O23" s="20">
        <v>2636844.48</v>
      </c>
      <c r="P23" s="20"/>
      <c r="Q23" s="20">
        <v>0</v>
      </c>
      <c r="R23" s="20">
        <v>31499.5</v>
      </c>
      <c r="S23" s="20">
        <v>2974052.63</v>
      </c>
      <c r="T23" s="2"/>
      <c r="U23" s="2"/>
      <c r="V23" s="2"/>
      <c r="W23" s="2"/>
      <c r="X23" s="2"/>
      <c r="Y23" s="2"/>
    </row>
    <row r="24" spans="1:25" ht="15">
      <c r="A24" s="40">
        <f t="shared" si="0"/>
        <v>8</v>
      </c>
      <c r="B24" s="25" t="s">
        <v>155</v>
      </c>
      <c r="C24" s="20">
        <f>SUM(M24:O24)</f>
        <v>58043.65</v>
      </c>
      <c r="D24" s="20">
        <f>SUM(Q24:S24)</f>
        <v>0</v>
      </c>
      <c r="E24" s="20"/>
      <c r="F24" s="20"/>
      <c r="G24" s="20">
        <f>ROUND(SUM(C24:F24)/2,0)</f>
        <v>29022</v>
      </c>
      <c r="H24" s="20"/>
      <c r="I24" s="20">
        <f t="shared" si="1"/>
        <v>0</v>
      </c>
      <c r="J24" s="20">
        <f t="shared" si="1"/>
        <v>0</v>
      </c>
      <c r="K24" s="20">
        <f t="shared" si="1"/>
        <v>29021.825</v>
      </c>
      <c r="L24" s="20"/>
      <c r="M24" s="20">
        <v>0</v>
      </c>
      <c r="N24" s="20">
        <v>0</v>
      </c>
      <c r="O24" s="20">
        <v>58043.65</v>
      </c>
      <c r="P24" s="20"/>
      <c r="Q24" s="20">
        <v>0</v>
      </c>
      <c r="R24" s="20">
        <v>0</v>
      </c>
      <c r="S24" s="20">
        <v>0</v>
      </c>
      <c r="T24" s="2"/>
      <c r="U24" s="2"/>
      <c r="V24" s="2"/>
      <c r="W24" s="2"/>
      <c r="X24" s="2"/>
      <c r="Y24" s="2"/>
    </row>
    <row r="25" spans="1:25" ht="15">
      <c r="A25" s="40">
        <f t="shared" si="0"/>
        <v>9</v>
      </c>
      <c r="B25" s="25" t="s">
        <v>156</v>
      </c>
      <c r="C25" s="20">
        <f t="shared" si="2"/>
        <v>0.1</v>
      </c>
      <c r="D25" s="20">
        <f t="shared" si="3"/>
        <v>45764894.09</v>
      </c>
      <c r="E25" s="20"/>
      <c r="F25" s="20"/>
      <c r="G25" s="20">
        <f t="shared" si="4"/>
        <v>22882447</v>
      </c>
      <c r="H25" s="20"/>
      <c r="I25" s="20">
        <f t="shared" si="1"/>
        <v>22882447.095000003</v>
      </c>
      <c r="J25" s="20">
        <f t="shared" si="1"/>
        <v>0</v>
      </c>
      <c r="K25" s="20">
        <f t="shared" si="1"/>
        <v>0</v>
      </c>
      <c r="L25" s="20"/>
      <c r="M25" s="20">
        <v>0.1</v>
      </c>
      <c r="N25" s="20">
        <v>0</v>
      </c>
      <c r="O25" s="20">
        <v>0</v>
      </c>
      <c r="P25" s="20"/>
      <c r="Q25" s="20">
        <v>45764894.09</v>
      </c>
      <c r="R25" s="20">
        <v>0</v>
      </c>
      <c r="S25" s="20">
        <v>0</v>
      </c>
      <c r="T25" s="2"/>
      <c r="U25" s="2"/>
      <c r="V25" s="2"/>
      <c r="W25" s="2"/>
      <c r="X25" s="2"/>
      <c r="Y25" s="2"/>
    </row>
    <row r="26" spans="1:25" ht="15">
      <c r="A26" s="40">
        <f t="shared" si="0"/>
        <v>10</v>
      </c>
      <c r="B26" s="25" t="s">
        <v>157</v>
      </c>
      <c r="C26" s="20">
        <f t="shared" si="2"/>
        <v>0</v>
      </c>
      <c r="D26" s="20">
        <f t="shared" si="3"/>
        <v>0</v>
      </c>
      <c r="E26" s="20"/>
      <c r="F26" s="20"/>
      <c r="G26" s="20">
        <f t="shared" si="4"/>
        <v>0</v>
      </c>
      <c r="H26" s="20"/>
      <c r="I26" s="20">
        <f t="shared" si="1"/>
        <v>0</v>
      </c>
      <c r="J26" s="20">
        <f t="shared" si="1"/>
        <v>0</v>
      </c>
      <c r="K26" s="20">
        <f t="shared" si="1"/>
        <v>0</v>
      </c>
      <c r="L26" s="20"/>
      <c r="M26" s="20">
        <v>0</v>
      </c>
      <c r="N26" s="20">
        <v>0</v>
      </c>
      <c r="O26" s="20">
        <v>0</v>
      </c>
      <c r="P26" s="20"/>
      <c r="Q26" s="20">
        <v>0</v>
      </c>
      <c r="R26" s="20">
        <v>0</v>
      </c>
      <c r="S26" s="20">
        <v>0</v>
      </c>
      <c r="T26" s="2"/>
      <c r="U26" s="2"/>
      <c r="V26" s="2"/>
      <c r="W26" s="2"/>
      <c r="X26" s="2"/>
      <c r="Y26" s="2"/>
    </row>
    <row r="27" spans="1:25" ht="15">
      <c r="A27" s="40">
        <f t="shared" si="0"/>
        <v>11</v>
      </c>
      <c r="B27" s="25" t="s">
        <v>158</v>
      </c>
      <c r="C27" s="20">
        <f t="shared" si="2"/>
        <v>3950725.62</v>
      </c>
      <c r="D27" s="20">
        <f t="shared" si="3"/>
        <v>2571282</v>
      </c>
      <c r="E27" s="20"/>
      <c r="F27" s="20"/>
      <c r="G27" s="20">
        <f t="shared" si="4"/>
        <v>3261004</v>
      </c>
      <c r="H27" s="20"/>
      <c r="I27" s="20">
        <f t="shared" si="1"/>
        <v>798765.36</v>
      </c>
      <c r="J27" s="20">
        <f t="shared" si="1"/>
        <v>2462238.46</v>
      </c>
      <c r="K27" s="20">
        <f t="shared" si="1"/>
        <v>-0.01</v>
      </c>
      <c r="L27" s="20"/>
      <c r="M27" s="20">
        <v>743547.48</v>
      </c>
      <c r="N27" s="20">
        <v>3207178.15</v>
      </c>
      <c r="O27" s="20">
        <v>-0.01</v>
      </c>
      <c r="P27" s="20"/>
      <c r="Q27" s="20">
        <v>853983.24</v>
      </c>
      <c r="R27" s="20">
        <v>1717298.77</v>
      </c>
      <c r="S27" s="20">
        <v>-0.01</v>
      </c>
      <c r="T27" s="2"/>
      <c r="U27" s="2"/>
      <c r="V27" s="2"/>
      <c r="W27" s="2"/>
      <c r="X27" s="2"/>
      <c r="Y27" s="2"/>
    </row>
    <row r="28" spans="1:25" ht="15">
      <c r="A28" s="40">
        <f t="shared" si="0"/>
        <v>12</v>
      </c>
      <c r="B28" s="25" t="s">
        <v>159</v>
      </c>
      <c r="C28" s="20">
        <f t="shared" si="2"/>
        <v>640.6</v>
      </c>
      <c r="D28" s="20">
        <f t="shared" si="3"/>
        <v>640.6</v>
      </c>
      <c r="E28" s="20"/>
      <c r="F28" s="20"/>
      <c r="G28" s="20">
        <f t="shared" si="4"/>
        <v>641</v>
      </c>
      <c r="H28" s="20"/>
      <c r="I28" s="20">
        <f t="shared" si="1"/>
        <v>0</v>
      </c>
      <c r="J28" s="20">
        <f t="shared" si="1"/>
        <v>0</v>
      </c>
      <c r="K28" s="20">
        <f t="shared" si="1"/>
        <v>640.6</v>
      </c>
      <c r="L28" s="20"/>
      <c r="M28" s="20">
        <v>0</v>
      </c>
      <c r="N28" s="20">
        <v>0</v>
      </c>
      <c r="O28" s="20">
        <v>640.6</v>
      </c>
      <c r="P28" s="20"/>
      <c r="Q28" s="20">
        <v>0</v>
      </c>
      <c r="R28" s="20">
        <v>0</v>
      </c>
      <c r="S28" s="20">
        <v>640.6</v>
      </c>
      <c r="T28" s="2"/>
      <c r="U28" s="2"/>
      <c r="V28" s="2"/>
      <c r="W28" s="2"/>
      <c r="X28" s="2"/>
      <c r="Y28" s="2"/>
    </row>
    <row r="29" spans="1:25" ht="15">
      <c r="A29" s="40">
        <f t="shared" si="0"/>
        <v>13</v>
      </c>
      <c r="B29" s="25" t="s">
        <v>160</v>
      </c>
      <c r="C29" s="20">
        <f t="shared" si="2"/>
        <v>0</v>
      </c>
      <c r="D29" s="20">
        <f t="shared" si="3"/>
        <v>0</v>
      </c>
      <c r="E29" s="20"/>
      <c r="F29" s="20"/>
      <c r="G29" s="20">
        <f t="shared" si="4"/>
        <v>0</v>
      </c>
      <c r="H29" s="20"/>
      <c r="I29" s="20">
        <f t="shared" si="1"/>
        <v>0</v>
      </c>
      <c r="J29" s="20">
        <f t="shared" si="1"/>
        <v>0</v>
      </c>
      <c r="K29" s="20">
        <f t="shared" si="1"/>
        <v>0</v>
      </c>
      <c r="L29" s="20"/>
      <c r="M29" s="20">
        <v>0</v>
      </c>
      <c r="N29" s="20">
        <v>0</v>
      </c>
      <c r="O29" s="20">
        <v>0</v>
      </c>
      <c r="P29" s="20"/>
      <c r="Q29" s="20">
        <v>0</v>
      </c>
      <c r="R29" s="20">
        <v>0</v>
      </c>
      <c r="S29" s="20">
        <v>0</v>
      </c>
      <c r="T29" s="2"/>
      <c r="U29" s="2"/>
      <c r="V29" s="2"/>
      <c r="W29" s="2"/>
      <c r="X29" s="2"/>
      <c r="Y29" s="2"/>
    </row>
    <row r="30" spans="1:25" ht="15">
      <c r="A30" s="40">
        <f t="shared" si="0"/>
        <v>14</v>
      </c>
      <c r="B30" s="25" t="s">
        <v>161</v>
      </c>
      <c r="C30" s="20">
        <f>SUM(M30:O30)</f>
        <v>-1391314.05</v>
      </c>
      <c r="D30" s="20">
        <f>SUM(Q30:S30)</f>
        <v>-2959372.15</v>
      </c>
      <c r="E30" s="20"/>
      <c r="F30" s="20"/>
      <c r="G30" s="20">
        <f>ROUND(SUM(C30:F30)/2,0)</f>
        <v>-2175343</v>
      </c>
      <c r="H30" s="20"/>
      <c r="I30" s="20">
        <f t="shared" si="1"/>
        <v>-2175343.1</v>
      </c>
      <c r="J30" s="20">
        <f t="shared" si="1"/>
        <v>0</v>
      </c>
      <c r="K30" s="20">
        <f t="shared" si="1"/>
        <v>0</v>
      </c>
      <c r="L30" s="20"/>
      <c r="M30" s="20">
        <v>-1391314.05</v>
      </c>
      <c r="N30" s="20">
        <v>0</v>
      </c>
      <c r="O30" s="20">
        <v>0</v>
      </c>
      <c r="P30" s="20"/>
      <c r="Q30" s="20">
        <v>-2959372.15</v>
      </c>
      <c r="R30" s="20">
        <v>0</v>
      </c>
      <c r="S30" s="20">
        <v>0</v>
      </c>
      <c r="T30" s="2"/>
      <c r="U30" s="2"/>
      <c r="V30" s="2"/>
      <c r="W30" s="2"/>
      <c r="X30" s="2"/>
      <c r="Y30" s="2"/>
    </row>
    <row r="31" spans="1:25" ht="15">
      <c r="A31" s="40">
        <f t="shared" si="0"/>
        <v>15</v>
      </c>
      <c r="B31" s="25" t="s">
        <v>162</v>
      </c>
      <c r="C31" s="20">
        <f t="shared" si="2"/>
        <v>148070</v>
      </c>
      <c r="D31" s="20">
        <f t="shared" si="3"/>
        <v>140161.09</v>
      </c>
      <c r="E31" s="20"/>
      <c r="F31" s="20"/>
      <c r="G31" s="20">
        <f t="shared" si="4"/>
        <v>144116</v>
      </c>
      <c r="H31" s="20"/>
      <c r="I31" s="20">
        <f t="shared" si="1"/>
        <v>88748.75</v>
      </c>
      <c r="J31" s="20">
        <f t="shared" si="1"/>
        <v>7085.3099999999995</v>
      </c>
      <c r="K31" s="20">
        <f t="shared" si="1"/>
        <v>48281.485</v>
      </c>
      <c r="L31" s="20"/>
      <c r="M31" s="20">
        <v>88054.47</v>
      </c>
      <c r="N31" s="20">
        <v>6030.94</v>
      </c>
      <c r="O31" s="20">
        <v>53984.59</v>
      </c>
      <c r="P31" s="20"/>
      <c r="Q31" s="20">
        <v>89443.03</v>
      </c>
      <c r="R31" s="20">
        <v>8139.68</v>
      </c>
      <c r="S31" s="20">
        <v>42578.38</v>
      </c>
      <c r="T31" s="2"/>
      <c r="U31" s="2"/>
      <c r="V31" s="2"/>
      <c r="W31" s="2"/>
      <c r="X31" s="2"/>
      <c r="Y31" s="2"/>
    </row>
    <row r="32" spans="1:25" ht="15">
      <c r="A32" s="40">
        <f t="shared" si="0"/>
        <v>16</v>
      </c>
      <c r="B32" s="25" t="s">
        <v>163</v>
      </c>
      <c r="C32" s="20">
        <f t="shared" si="2"/>
        <v>-101246.18</v>
      </c>
      <c r="D32" s="20">
        <f t="shared" si="3"/>
        <v>-108045.39</v>
      </c>
      <c r="E32" s="20"/>
      <c r="F32" s="20"/>
      <c r="G32" s="20">
        <f t="shared" si="4"/>
        <v>-104646</v>
      </c>
      <c r="H32" s="20"/>
      <c r="I32" s="20">
        <f t="shared" si="1"/>
        <v>165.445</v>
      </c>
      <c r="J32" s="20">
        <f t="shared" si="1"/>
        <v>0</v>
      </c>
      <c r="K32" s="20">
        <f t="shared" si="1"/>
        <v>-104811.23000000001</v>
      </c>
      <c r="L32" s="20"/>
      <c r="M32" s="20">
        <v>141.82</v>
      </c>
      <c r="N32" s="20">
        <v>0</v>
      </c>
      <c r="O32" s="20">
        <v>-101388</v>
      </c>
      <c r="P32" s="20"/>
      <c r="Q32" s="20">
        <v>189.07</v>
      </c>
      <c r="R32" s="20">
        <v>0</v>
      </c>
      <c r="S32" s="20">
        <v>-108234.46</v>
      </c>
      <c r="T32" s="2"/>
      <c r="U32" s="2"/>
      <c r="V32" s="2"/>
      <c r="W32" s="2"/>
      <c r="X32" s="2"/>
      <c r="Y32" s="2"/>
    </row>
    <row r="33" spans="1:25" ht="15">
      <c r="A33" s="40">
        <f t="shared" si="0"/>
        <v>17</v>
      </c>
      <c r="B33" s="25" t="s">
        <v>164</v>
      </c>
      <c r="C33" s="20">
        <f>SUM(M33:O33)</f>
        <v>66717.70000000001</v>
      </c>
      <c r="D33" s="20">
        <f>SUM(Q33:S33)</f>
        <v>76486.9</v>
      </c>
      <c r="E33" s="20"/>
      <c r="F33" s="20"/>
      <c r="G33" s="20">
        <f>ROUND(SUM(C33:F33)/2,0)</f>
        <v>71602</v>
      </c>
      <c r="H33" s="20"/>
      <c r="I33" s="20">
        <f t="shared" si="1"/>
        <v>116.89999999999999</v>
      </c>
      <c r="J33" s="20">
        <f t="shared" si="1"/>
        <v>0</v>
      </c>
      <c r="K33" s="20">
        <f t="shared" si="1"/>
        <v>71485.4</v>
      </c>
      <c r="L33" s="20"/>
      <c r="M33" s="20">
        <v>-132.65</v>
      </c>
      <c r="N33" s="20">
        <v>0</v>
      </c>
      <c r="O33" s="20">
        <v>66850.35</v>
      </c>
      <c r="P33" s="20"/>
      <c r="Q33" s="20">
        <v>366.45</v>
      </c>
      <c r="R33" s="20">
        <v>0</v>
      </c>
      <c r="S33" s="20">
        <v>76120.45</v>
      </c>
      <c r="T33" s="2"/>
      <c r="U33" s="2"/>
      <c r="V33" s="2"/>
      <c r="W33" s="2"/>
      <c r="X33" s="2"/>
      <c r="Y33" s="2"/>
    </row>
    <row r="34" spans="1:25" ht="15">
      <c r="A34" s="40">
        <f t="shared" si="0"/>
        <v>18</v>
      </c>
      <c r="B34" s="25" t="s">
        <v>165</v>
      </c>
      <c r="C34" s="20">
        <f>SUM(M34:O34)</f>
        <v>153249.75</v>
      </c>
      <c r="D34" s="20">
        <f>SUM(Q34:S34)</f>
        <v>186096.33000000002</v>
      </c>
      <c r="E34" s="20"/>
      <c r="F34" s="20"/>
      <c r="G34" s="20">
        <f>ROUND(SUM(C34:F34)/2,0)</f>
        <v>169673</v>
      </c>
      <c r="H34" s="20"/>
      <c r="I34" s="20">
        <f t="shared" si="1"/>
        <v>122857.27500000001</v>
      </c>
      <c r="J34" s="20">
        <f t="shared" si="1"/>
        <v>-0.35</v>
      </c>
      <c r="K34" s="20">
        <f t="shared" si="1"/>
        <v>46816.115</v>
      </c>
      <c r="L34" s="20"/>
      <c r="M34" s="20">
        <v>153250.23</v>
      </c>
      <c r="N34" s="20">
        <v>-0.35</v>
      </c>
      <c r="O34" s="20">
        <v>-0.13</v>
      </c>
      <c r="P34" s="20"/>
      <c r="Q34" s="20">
        <v>92464.32</v>
      </c>
      <c r="R34" s="20">
        <v>-0.35</v>
      </c>
      <c r="S34" s="20">
        <v>93632.36</v>
      </c>
      <c r="T34" s="2"/>
      <c r="U34" s="2"/>
      <c r="V34" s="2"/>
      <c r="W34" s="2"/>
      <c r="X34" s="2"/>
      <c r="Y34" s="2"/>
    </row>
    <row r="35" spans="1:25" ht="15">
      <c r="A35" s="40">
        <f t="shared" si="0"/>
        <v>19</v>
      </c>
      <c r="B35" s="25" t="s">
        <v>166</v>
      </c>
      <c r="C35" s="20">
        <f>SUM(M35:O35)</f>
        <v>-0.02</v>
      </c>
      <c r="D35" s="20">
        <f>SUM(Q35:S35)</f>
        <v>-0.02</v>
      </c>
      <c r="E35" s="20"/>
      <c r="F35" s="20"/>
      <c r="G35" s="20">
        <f>ROUND(SUM(C35:F35)/2,0)</f>
        <v>0</v>
      </c>
      <c r="H35" s="20"/>
      <c r="I35" s="20">
        <f t="shared" si="1"/>
        <v>0</v>
      </c>
      <c r="J35" s="20">
        <f t="shared" si="1"/>
        <v>0</v>
      </c>
      <c r="K35" s="20">
        <f t="shared" si="1"/>
        <v>-0.02</v>
      </c>
      <c r="L35" s="20"/>
      <c r="M35" s="20">
        <v>0</v>
      </c>
      <c r="N35" s="20">
        <v>0</v>
      </c>
      <c r="O35" s="20">
        <v>-0.02</v>
      </c>
      <c r="P35" s="20"/>
      <c r="Q35" s="20">
        <v>0</v>
      </c>
      <c r="R35" s="20">
        <v>0</v>
      </c>
      <c r="S35" s="20">
        <v>-0.02</v>
      </c>
      <c r="T35" s="2"/>
      <c r="U35" s="2"/>
      <c r="V35" s="2"/>
      <c r="W35" s="2"/>
      <c r="X35" s="2"/>
      <c r="Y35" s="2"/>
    </row>
    <row r="36" spans="1:25" ht="15">
      <c r="A36" s="40">
        <f t="shared" si="0"/>
        <v>20</v>
      </c>
      <c r="B36" s="25" t="s">
        <v>167</v>
      </c>
      <c r="C36" s="20">
        <f>SUM(M36:O36)</f>
        <v>167881.63</v>
      </c>
      <c r="D36" s="20">
        <f>SUM(Q36:S36)</f>
        <v>226502.97999999998</v>
      </c>
      <c r="E36" s="20"/>
      <c r="F36" s="20"/>
      <c r="G36" s="20">
        <f>ROUND(SUM(C36:F36)/2,0)</f>
        <v>197192</v>
      </c>
      <c r="H36" s="20"/>
      <c r="I36" s="20">
        <f t="shared" si="1"/>
        <v>78799.07500000001</v>
      </c>
      <c r="J36" s="20">
        <f t="shared" si="1"/>
        <v>0</v>
      </c>
      <c r="K36" s="20">
        <f t="shared" si="1"/>
        <v>118393.23</v>
      </c>
      <c r="L36" s="20"/>
      <c r="M36" s="20">
        <v>83358.6</v>
      </c>
      <c r="N36" s="20">
        <v>0</v>
      </c>
      <c r="O36" s="20">
        <v>84523.03</v>
      </c>
      <c r="P36" s="20"/>
      <c r="Q36" s="20">
        <v>74239.55</v>
      </c>
      <c r="R36" s="20">
        <v>0</v>
      </c>
      <c r="S36" s="20">
        <v>152263.43</v>
      </c>
      <c r="T36" s="2"/>
      <c r="U36" s="2"/>
      <c r="V36" s="2"/>
      <c r="W36" s="2"/>
      <c r="X36" s="2"/>
      <c r="Y36" s="2"/>
    </row>
    <row r="37" spans="1:25" ht="15">
      <c r="A37" s="40">
        <f t="shared" si="0"/>
        <v>21</v>
      </c>
      <c r="B37" s="25" t="s">
        <v>168</v>
      </c>
      <c r="C37" s="20">
        <f t="shared" si="2"/>
        <v>1787717.6300000004</v>
      </c>
      <c r="D37" s="20">
        <f t="shared" si="3"/>
        <v>512489.67000000004</v>
      </c>
      <c r="E37" s="20"/>
      <c r="F37" s="20"/>
      <c r="G37" s="20">
        <f t="shared" si="4"/>
        <v>1150104</v>
      </c>
      <c r="H37" s="20"/>
      <c r="I37" s="20">
        <f t="shared" si="1"/>
        <v>-342671.35</v>
      </c>
      <c r="J37" s="20">
        <f t="shared" si="1"/>
        <v>-0.01</v>
      </c>
      <c r="K37" s="20">
        <f t="shared" si="1"/>
        <v>1492775.0100000002</v>
      </c>
      <c r="L37" s="20"/>
      <c r="M37" s="20">
        <v>-342671.35</v>
      </c>
      <c r="N37" s="20">
        <v>-0.01</v>
      </c>
      <c r="O37" s="20">
        <v>2130388.99</v>
      </c>
      <c r="P37" s="20"/>
      <c r="Q37" s="20">
        <v>-342671.35</v>
      </c>
      <c r="R37" s="20">
        <v>-0.01</v>
      </c>
      <c r="S37" s="20">
        <v>855161.03</v>
      </c>
      <c r="T37" s="2"/>
      <c r="U37" s="2"/>
      <c r="V37" s="2"/>
      <c r="W37" s="2"/>
      <c r="X37" s="2"/>
      <c r="Y37" s="2"/>
    </row>
    <row r="38" spans="1:25" ht="15">
      <c r="A38" s="40">
        <f t="shared" si="0"/>
        <v>22</v>
      </c>
      <c r="B38" s="25" t="s">
        <v>169</v>
      </c>
      <c r="C38" s="20">
        <f t="shared" si="2"/>
        <v>607981.5</v>
      </c>
      <c r="D38" s="20">
        <f t="shared" si="3"/>
        <v>187266.8</v>
      </c>
      <c r="E38" s="20"/>
      <c r="F38" s="20"/>
      <c r="G38" s="20">
        <f t="shared" si="4"/>
        <v>397624</v>
      </c>
      <c r="H38" s="20"/>
      <c r="I38" s="20">
        <f t="shared" si="1"/>
        <v>397624.15</v>
      </c>
      <c r="J38" s="20">
        <f t="shared" si="1"/>
        <v>0</v>
      </c>
      <c r="K38" s="20">
        <f t="shared" si="1"/>
        <v>0</v>
      </c>
      <c r="L38" s="20"/>
      <c r="M38" s="20">
        <v>607981.5</v>
      </c>
      <c r="N38" s="20">
        <v>0</v>
      </c>
      <c r="O38" s="20">
        <v>0</v>
      </c>
      <c r="P38" s="20"/>
      <c r="Q38" s="20">
        <v>187266.8</v>
      </c>
      <c r="R38" s="20">
        <v>0</v>
      </c>
      <c r="S38" s="20">
        <v>0</v>
      </c>
      <c r="T38" s="2"/>
      <c r="U38" s="2"/>
      <c r="V38" s="2"/>
      <c r="W38" s="2"/>
      <c r="X38" s="2"/>
      <c r="Y38" s="2"/>
    </row>
    <row r="39" spans="1:25" ht="15">
      <c r="A39" s="40">
        <f t="shared" si="0"/>
        <v>23</v>
      </c>
      <c r="B39" s="25" t="s">
        <v>170</v>
      </c>
      <c r="C39" s="20">
        <f>SUM(M39:O39)</f>
        <v>-70711.9</v>
      </c>
      <c r="D39" s="20">
        <f>SUM(Q39:S39)</f>
        <v>-26030.55</v>
      </c>
      <c r="E39" s="20"/>
      <c r="F39" s="20"/>
      <c r="G39" s="20">
        <f>ROUND(SUM(C39:F39)/2,0)</f>
        <v>-48371</v>
      </c>
      <c r="H39" s="20"/>
      <c r="I39" s="20">
        <f t="shared" si="1"/>
        <v>-48371.225</v>
      </c>
      <c r="J39" s="20">
        <f t="shared" si="1"/>
        <v>0</v>
      </c>
      <c r="K39" s="20">
        <f t="shared" si="1"/>
        <v>0</v>
      </c>
      <c r="L39" s="20"/>
      <c r="M39" s="20">
        <v>-70711.9</v>
      </c>
      <c r="N39" s="20">
        <v>0</v>
      </c>
      <c r="O39" s="20">
        <v>0</v>
      </c>
      <c r="P39" s="20"/>
      <c r="Q39" s="20">
        <v>-26030.55</v>
      </c>
      <c r="R39" s="20">
        <v>0</v>
      </c>
      <c r="S39" s="20">
        <v>0</v>
      </c>
      <c r="T39" s="2"/>
      <c r="U39" s="2"/>
      <c r="V39" s="2"/>
      <c r="W39" s="2"/>
      <c r="X39" s="2"/>
      <c r="Y39" s="2"/>
    </row>
    <row r="40" spans="1:25" ht="15">
      <c r="A40" s="40">
        <f t="shared" si="0"/>
        <v>24</v>
      </c>
      <c r="B40" s="41" t="s">
        <v>670</v>
      </c>
      <c r="C40" s="20">
        <f>SUM(M40:O40)</f>
        <v>0</v>
      </c>
      <c r="D40" s="20">
        <f>SUM(Q40:S40)</f>
        <v>788712.61</v>
      </c>
      <c r="E40" s="20"/>
      <c r="F40" s="20"/>
      <c r="G40" s="20">
        <f>ROUND(SUM(C40:F40)/2,0)</f>
        <v>394356</v>
      </c>
      <c r="H40" s="20"/>
      <c r="I40" s="20">
        <f>(+M40+Q40)/2</f>
        <v>175312.375</v>
      </c>
      <c r="J40" s="20">
        <f>(+N40+R40)/2</f>
        <v>23220.225</v>
      </c>
      <c r="K40" s="20">
        <f>(+O40+S40)/2</f>
        <v>195823.705</v>
      </c>
      <c r="L40" s="20"/>
      <c r="M40" s="20">
        <v>0</v>
      </c>
      <c r="N40" s="20">
        <v>0</v>
      </c>
      <c r="O40" s="20">
        <v>0</v>
      </c>
      <c r="P40" s="20"/>
      <c r="Q40" s="20">
        <v>350624.75</v>
      </c>
      <c r="R40" s="20">
        <v>46440.45</v>
      </c>
      <c r="S40" s="20">
        <v>391647.41</v>
      </c>
      <c r="T40" s="2"/>
      <c r="U40" s="2"/>
      <c r="V40" s="2"/>
      <c r="W40" s="2"/>
      <c r="X40" s="2"/>
      <c r="Y40" s="2"/>
    </row>
    <row r="41" spans="1:25" ht="15">
      <c r="A41" s="40">
        <f t="shared" si="0"/>
        <v>25</v>
      </c>
      <c r="B41" s="25" t="s">
        <v>171</v>
      </c>
      <c r="C41" s="20">
        <f t="shared" si="2"/>
        <v>4776420.12</v>
      </c>
      <c r="D41" s="20">
        <f t="shared" si="3"/>
        <v>4462792.61</v>
      </c>
      <c r="E41" s="20"/>
      <c r="F41" s="20"/>
      <c r="G41" s="20">
        <f t="shared" si="4"/>
        <v>4619606</v>
      </c>
      <c r="H41" s="20"/>
      <c r="I41" s="20">
        <f t="shared" si="1"/>
        <v>2605501.355</v>
      </c>
      <c r="J41" s="20">
        <f t="shared" si="1"/>
        <v>261209.98500000002</v>
      </c>
      <c r="K41" s="20">
        <f t="shared" si="1"/>
        <v>1752895.025</v>
      </c>
      <c r="L41" s="20"/>
      <c r="M41" s="20">
        <v>2611726.73</v>
      </c>
      <c r="N41" s="20">
        <v>295481.27</v>
      </c>
      <c r="O41" s="20">
        <v>1869212.12</v>
      </c>
      <c r="P41" s="20"/>
      <c r="Q41" s="20">
        <v>2599275.98</v>
      </c>
      <c r="R41" s="20">
        <v>226938.7</v>
      </c>
      <c r="S41" s="20">
        <v>1636577.93</v>
      </c>
      <c r="T41" s="2"/>
      <c r="U41" s="2"/>
      <c r="V41" s="2"/>
      <c r="W41" s="2"/>
      <c r="X41" s="2"/>
      <c r="Y41" s="2"/>
    </row>
    <row r="42" spans="1:25" ht="15">
      <c r="A42" s="40">
        <f t="shared" si="0"/>
        <v>26</v>
      </c>
      <c r="B42" s="25" t="s">
        <v>172</v>
      </c>
      <c r="C42" s="20">
        <f t="shared" si="2"/>
        <v>765625</v>
      </c>
      <c r="D42" s="20">
        <f t="shared" si="3"/>
        <v>756700</v>
      </c>
      <c r="E42" s="20"/>
      <c r="F42" s="20"/>
      <c r="G42" s="20">
        <f t="shared" si="4"/>
        <v>761163</v>
      </c>
      <c r="H42" s="20"/>
      <c r="I42" s="20">
        <f t="shared" si="1"/>
        <v>0</v>
      </c>
      <c r="J42" s="20">
        <f t="shared" si="1"/>
        <v>0</v>
      </c>
      <c r="K42" s="20">
        <f t="shared" si="1"/>
        <v>761162.5</v>
      </c>
      <c r="L42" s="20"/>
      <c r="M42" s="20">
        <v>0</v>
      </c>
      <c r="N42" s="20">
        <v>0</v>
      </c>
      <c r="O42" s="20">
        <v>765625</v>
      </c>
      <c r="P42" s="20"/>
      <c r="Q42" s="20">
        <v>0</v>
      </c>
      <c r="R42" s="20">
        <v>0</v>
      </c>
      <c r="S42" s="20">
        <v>756700</v>
      </c>
      <c r="T42" s="2"/>
      <c r="U42" s="2"/>
      <c r="V42" s="2"/>
      <c r="W42" s="2"/>
      <c r="X42" s="2"/>
      <c r="Y42" s="2"/>
    </row>
    <row r="43" spans="1:25" ht="15">
      <c r="A43" s="40">
        <f t="shared" si="0"/>
        <v>27</v>
      </c>
      <c r="B43" s="25" t="s">
        <v>173</v>
      </c>
      <c r="C43" s="20">
        <f>SUM(M43:O43)</f>
        <v>3520726.8</v>
      </c>
      <c r="D43" s="20">
        <f>SUM(Q43:S43)</f>
        <v>3330428.8499999996</v>
      </c>
      <c r="E43" s="20"/>
      <c r="F43" s="20"/>
      <c r="G43" s="20">
        <f>ROUND(SUM(C43:F43)/2,0)</f>
        <v>3425578</v>
      </c>
      <c r="H43" s="20"/>
      <c r="I43" s="20">
        <f t="shared" si="1"/>
        <v>1477814.8399999999</v>
      </c>
      <c r="J43" s="20">
        <f t="shared" si="1"/>
        <v>216320.065</v>
      </c>
      <c r="K43" s="20">
        <f t="shared" si="1"/>
        <v>1731442.92</v>
      </c>
      <c r="L43" s="20"/>
      <c r="M43" s="20">
        <v>1539871.29</v>
      </c>
      <c r="N43" s="20">
        <v>255855.65</v>
      </c>
      <c r="O43" s="20">
        <v>1724999.86</v>
      </c>
      <c r="P43" s="20"/>
      <c r="Q43" s="20">
        <v>1415758.39</v>
      </c>
      <c r="R43" s="20">
        <v>176784.48</v>
      </c>
      <c r="S43" s="20">
        <v>1737885.98</v>
      </c>
      <c r="T43" s="2"/>
      <c r="U43" s="2"/>
      <c r="V43" s="2"/>
      <c r="W43" s="2"/>
      <c r="X43" s="2"/>
      <c r="Y43" s="2"/>
    </row>
    <row r="44" spans="1:25" ht="15">
      <c r="A44" s="40">
        <f t="shared" si="0"/>
        <v>28</v>
      </c>
      <c r="B44" s="25" t="s">
        <v>174</v>
      </c>
      <c r="C44" s="20">
        <f t="shared" si="2"/>
        <v>172084.35</v>
      </c>
      <c r="D44" s="20">
        <f t="shared" si="3"/>
        <v>365758.05</v>
      </c>
      <c r="E44" s="20"/>
      <c r="F44" s="20"/>
      <c r="G44" s="20">
        <f t="shared" si="4"/>
        <v>268921</v>
      </c>
      <c r="H44" s="20"/>
      <c r="I44" s="20">
        <f t="shared" si="1"/>
        <v>92531.29000000001</v>
      </c>
      <c r="J44" s="20">
        <f t="shared" si="1"/>
        <v>0</v>
      </c>
      <c r="K44" s="20">
        <f t="shared" si="1"/>
        <v>176389.91</v>
      </c>
      <c r="L44" s="20"/>
      <c r="M44" s="20">
        <v>172084.35</v>
      </c>
      <c r="N44" s="20">
        <v>0</v>
      </c>
      <c r="O44" s="20">
        <v>0</v>
      </c>
      <c r="P44" s="20"/>
      <c r="Q44" s="20">
        <v>12978.23</v>
      </c>
      <c r="R44" s="20">
        <v>0</v>
      </c>
      <c r="S44" s="20">
        <v>352779.82</v>
      </c>
      <c r="T44" s="2"/>
      <c r="U44" s="2"/>
      <c r="V44" s="2"/>
      <c r="W44" s="2"/>
      <c r="X44" s="2"/>
      <c r="Y44" s="2"/>
    </row>
    <row r="45" spans="1:25" ht="15">
      <c r="A45" s="40">
        <f t="shared" si="0"/>
        <v>29</v>
      </c>
      <c r="B45" s="25" t="s">
        <v>175</v>
      </c>
      <c r="C45" s="20">
        <f t="shared" si="2"/>
        <v>462179.82999999996</v>
      </c>
      <c r="D45" s="20">
        <f t="shared" si="3"/>
        <v>7699.99</v>
      </c>
      <c r="E45" s="20"/>
      <c r="F45" s="20"/>
      <c r="G45" s="20">
        <f t="shared" si="4"/>
        <v>234940</v>
      </c>
      <c r="H45" s="20"/>
      <c r="I45" s="20">
        <f t="shared" si="1"/>
        <v>40563.32</v>
      </c>
      <c r="J45" s="20">
        <f t="shared" si="1"/>
        <v>32585.105</v>
      </c>
      <c r="K45" s="20">
        <f t="shared" si="1"/>
        <v>161791.485</v>
      </c>
      <c r="L45" s="20"/>
      <c r="M45" s="20">
        <v>80356.64</v>
      </c>
      <c r="N45" s="20">
        <v>65170.21</v>
      </c>
      <c r="O45" s="20">
        <v>316652.98</v>
      </c>
      <c r="P45" s="20"/>
      <c r="Q45" s="20">
        <v>770</v>
      </c>
      <c r="R45" s="20">
        <v>0</v>
      </c>
      <c r="S45" s="20">
        <v>6929.99</v>
      </c>
      <c r="T45" s="2"/>
      <c r="U45" s="2"/>
      <c r="V45" s="2"/>
      <c r="W45" s="2"/>
      <c r="X45" s="2"/>
      <c r="Y45" s="2"/>
    </row>
    <row r="46" spans="1:25" ht="15">
      <c r="A46" s="40">
        <f t="shared" si="0"/>
        <v>30</v>
      </c>
      <c r="B46" s="25" t="s">
        <v>176</v>
      </c>
      <c r="C46" s="20">
        <f t="shared" si="2"/>
        <v>-0.5999999999992724</v>
      </c>
      <c r="D46" s="20">
        <f t="shared" si="3"/>
        <v>-0.5999999999985448</v>
      </c>
      <c r="E46" s="20"/>
      <c r="F46" s="20"/>
      <c r="G46" s="20">
        <f t="shared" si="4"/>
        <v>-1</v>
      </c>
      <c r="H46" s="20"/>
      <c r="I46" s="20">
        <f t="shared" si="1"/>
        <v>-0.2999999999996362</v>
      </c>
      <c r="J46" s="20">
        <f t="shared" si="1"/>
        <v>-0.049999999999272404</v>
      </c>
      <c r="K46" s="20">
        <f t="shared" si="1"/>
        <v>-0.25</v>
      </c>
      <c r="L46" s="20"/>
      <c r="M46" s="20">
        <v>-0.3</v>
      </c>
      <c r="N46" s="20">
        <f>-12552.05+12552</f>
        <v>-0.049999999999272404</v>
      </c>
      <c r="O46" s="20">
        <f>-18828.25+18828</f>
        <v>-0.25</v>
      </c>
      <c r="P46" s="20"/>
      <c r="Q46" s="20">
        <f>-31380.3+31380</f>
        <v>-0.2999999999992724</v>
      </c>
      <c r="R46" s="20">
        <f>-12552.05+12552</f>
        <v>-0.049999999999272404</v>
      </c>
      <c r="S46" s="20">
        <f>-18828.25+18828</f>
        <v>-0.25</v>
      </c>
      <c r="T46" s="2"/>
      <c r="U46" s="2"/>
      <c r="V46" s="2"/>
      <c r="W46" s="2"/>
      <c r="X46" s="2"/>
      <c r="Y46" s="2"/>
    </row>
    <row r="47" spans="1:25" ht="15">
      <c r="A47" s="40">
        <f t="shared" si="0"/>
        <v>31</v>
      </c>
      <c r="B47" s="25" t="s">
        <v>177</v>
      </c>
      <c r="C47" s="20">
        <f>SUM(M47:O47)</f>
        <v>-604411.25</v>
      </c>
      <c r="D47" s="20">
        <f>SUM(Q47:S47)</f>
        <v>-552519.9</v>
      </c>
      <c r="E47" s="20"/>
      <c r="F47" s="20"/>
      <c r="G47" s="20">
        <f>ROUND(SUM(C47:F47)/2,0)</f>
        <v>-578466</v>
      </c>
      <c r="H47" s="20"/>
      <c r="I47" s="20">
        <f t="shared" si="1"/>
        <v>-626057.725</v>
      </c>
      <c r="J47" s="20">
        <f t="shared" si="1"/>
        <v>7557.325000000012</v>
      </c>
      <c r="K47" s="20">
        <f t="shared" si="1"/>
        <v>40034.825</v>
      </c>
      <c r="L47" s="20"/>
      <c r="M47" s="20">
        <v>-660162.25</v>
      </c>
      <c r="N47" s="20">
        <f>-153546.05+166370</f>
        <v>12823.950000000012</v>
      </c>
      <c r="O47" s="20">
        <f>-210754.95+253682</f>
        <v>42927.04999999999</v>
      </c>
      <c r="P47" s="20"/>
      <c r="Q47" s="20">
        <f>-1007906.2+415953</f>
        <v>-591953.2</v>
      </c>
      <c r="R47" s="20">
        <f>-164079.3+166370</f>
        <v>2290.7000000000116</v>
      </c>
      <c r="S47" s="20">
        <f>-216539.4+253682</f>
        <v>37142.600000000006</v>
      </c>
      <c r="T47" s="2"/>
      <c r="U47" s="2"/>
      <c r="V47" s="2"/>
      <c r="W47" s="2"/>
      <c r="X47" s="2"/>
      <c r="Y47" s="2"/>
    </row>
    <row r="48" spans="1:25" ht="15">
      <c r="A48" s="40">
        <f t="shared" si="0"/>
        <v>32</v>
      </c>
      <c r="B48" s="25" t="s">
        <v>178</v>
      </c>
      <c r="C48" s="20">
        <f>SUM(M48:O48)</f>
        <v>554.9499999999825</v>
      </c>
      <c r="D48" s="20">
        <f>SUM(Q48:S48)</f>
        <v>972.8500000000058</v>
      </c>
      <c r="E48" s="20"/>
      <c r="F48" s="20"/>
      <c r="G48" s="20">
        <f>ROUND(SUM(C48:F48)/2,0)</f>
        <v>764</v>
      </c>
      <c r="H48" s="20"/>
      <c r="I48" s="20">
        <f t="shared" si="1"/>
        <v>277.625</v>
      </c>
      <c r="J48" s="20">
        <f t="shared" si="1"/>
        <v>85.60000000000582</v>
      </c>
      <c r="K48" s="20">
        <f t="shared" si="1"/>
        <v>400.67499999998836</v>
      </c>
      <c r="L48" s="20"/>
      <c r="M48" s="20">
        <v>177</v>
      </c>
      <c r="N48" s="20">
        <f>-236764.15+236771</f>
        <v>6.850000000005821</v>
      </c>
      <c r="O48" s="20">
        <f>-354785.9+355157</f>
        <v>371.0999999999767</v>
      </c>
      <c r="P48" s="20"/>
      <c r="Q48" s="20">
        <f>-591550.75+591929</f>
        <v>378.25</v>
      </c>
      <c r="R48" s="20">
        <f>-236606.65+236771</f>
        <v>164.35000000000582</v>
      </c>
      <c r="S48" s="20">
        <f>-354726.75+355157</f>
        <v>430.25</v>
      </c>
      <c r="T48" s="2"/>
      <c r="U48" s="2"/>
      <c r="V48" s="2"/>
      <c r="W48" s="2"/>
      <c r="X48" s="2"/>
      <c r="Y48" s="2"/>
    </row>
    <row r="49" spans="1:25" ht="15">
      <c r="A49" s="40">
        <f t="shared" si="0"/>
        <v>33</v>
      </c>
      <c r="B49" s="25" t="s">
        <v>179</v>
      </c>
      <c r="C49" s="20">
        <f t="shared" si="2"/>
        <v>49457.09999999998</v>
      </c>
      <c r="D49" s="20">
        <f t="shared" si="3"/>
        <v>49457.09999999998</v>
      </c>
      <c r="E49" s="20"/>
      <c r="F49" s="20"/>
      <c r="G49" s="20">
        <f t="shared" si="4"/>
        <v>49457</v>
      </c>
      <c r="H49" s="20"/>
      <c r="I49" s="20">
        <f t="shared" si="1"/>
        <v>0</v>
      </c>
      <c r="J49" s="20">
        <f t="shared" si="1"/>
        <v>-240348.5</v>
      </c>
      <c r="K49" s="20">
        <f t="shared" si="1"/>
        <v>289805.6</v>
      </c>
      <c r="L49" s="20"/>
      <c r="M49" s="20">
        <v>0</v>
      </c>
      <c r="N49" s="20">
        <v>-240348.5</v>
      </c>
      <c r="O49" s="20">
        <v>289805.6</v>
      </c>
      <c r="P49" s="20"/>
      <c r="Q49" s="20">
        <v>0</v>
      </c>
      <c r="R49" s="20">
        <v>-240348.5</v>
      </c>
      <c r="S49" s="20">
        <v>289805.6</v>
      </c>
      <c r="T49" s="2"/>
      <c r="U49" s="2"/>
      <c r="V49" s="2"/>
      <c r="W49" s="2"/>
      <c r="X49" s="2"/>
      <c r="Y49" s="2"/>
    </row>
    <row r="50" spans="1:25" ht="15">
      <c r="A50" s="40">
        <f t="shared" si="0"/>
        <v>34</v>
      </c>
      <c r="B50" s="25" t="s">
        <v>180</v>
      </c>
      <c r="C50" s="20">
        <f t="shared" si="2"/>
        <v>-177579.36</v>
      </c>
      <c r="D50" s="20">
        <f t="shared" si="3"/>
        <v>-177579.36</v>
      </c>
      <c r="E50" s="20"/>
      <c r="F50" s="20"/>
      <c r="G50" s="20">
        <f t="shared" si="4"/>
        <v>-177579</v>
      </c>
      <c r="H50" s="20"/>
      <c r="I50" s="20">
        <f t="shared" si="1"/>
        <v>-177579.36</v>
      </c>
      <c r="J50" s="20">
        <f t="shared" si="1"/>
        <v>0</v>
      </c>
      <c r="K50" s="20">
        <f t="shared" si="1"/>
        <v>0</v>
      </c>
      <c r="L50" s="20"/>
      <c r="M50" s="20">
        <v>-177579.36</v>
      </c>
      <c r="N50" s="20">
        <v>0</v>
      </c>
      <c r="O50" s="20">
        <v>0</v>
      </c>
      <c r="P50" s="20"/>
      <c r="Q50" s="20">
        <v>-177579.36</v>
      </c>
      <c r="R50" s="20">
        <v>0</v>
      </c>
      <c r="S50" s="20">
        <v>0</v>
      </c>
      <c r="T50" s="2"/>
      <c r="U50" s="2"/>
      <c r="V50" s="2"/>
      <c r="W50" s="2"/>
      <c r="X50" s="2"/>
      <c r="Y50" s="2"/>
    </row>
    <row r="51" spans="1:25" ht="15">
      <c r="A51" s="40">
        <f t="shared" si="0"/>
        <v>35</v>
      </c>
      <c r="B51" s="25" t="s">
        <v>181</v>
      </c>
      <c r="C51" s="20">
        <f t="shared" si="2"/>
        <v>2.08</v>
      </c>
      <c r="D51" s="20">
        <f t="shared" si="3"/>
        <v>2.08</v>
      </c>
      <c r="E51" s="20"/>
      <c r="F51" s="20"/>
      <c r="G51" s="20">
        <f t="shared" si="4"/>
        <v>2</v>
      </c>
      <c r="H51" s="20"/>
      <c r="I51" s="20">
        <f t="shared" si="1"/>
        <v>-0.01</v>
      </c>
      <c r="J51" s="20">
        <f t="shared" si="1"/>
        <v>2.09</v>
      </c>
      <c r="K51" s="20">
        <f t="shared" si="1"/>
        <v>0</v>
      </c>
      <c r="L51" s="20"/>
      <c r="M51" s="20">
        <v>-0.01</v>
      </c>
      <c r="N51" s="20">
        <v>2.09</v>
      </c>
      <c r="O51" s="20">
        <v>0</v>
      </c>
      <c r="P51" s="20"/>
      <c r="Q51" s="20">
        <v>-0.01</v>
      </c>
      <c r="R51" s="20">
        <v>2.09</v>
      </c>
      <c r="S51" s="20">
        <v>0</v>
      </c>
      <c r="T51" s="2"/>
      <c r="U51" s="2"/>
      <c r="V51" s="2"/>
      <c r="W51" s="2"/>
      <c r="X51" s="2"/>
      <c r="Y51" s="2"/>
    </row>
    <row r="52" spans="1:25" ht="15">
      <c r="A52" s="40">
        <f t="shared" si="0"/>
        <v>36</v>
      </c>
      <c r="B52" s="41" t="s">
        <v>671</v>
      </c>
      <c r="C52" s="20">
        <f t="shared" si="2"/>
        <v>0</v>
      </c>
      <c r="D52" s="20">
        <f t="shared" si="3"/>
        <v>182467</v>
      </c>
      <c r="E52" s="20"/>
      <c r="F52" s="20"/>
      <c r="G52" s="20">
        <f t="shared" si="4"/>
        <v>91234</v>
      </c>
      <c r="H52" s="20"/>
      <c r="I52" s="20">
        <f>(+M52+Q52)/2</f>
        <v>91233.5</v>
      </c>
      <c r="J52" s="20">
        <f>(+N52+R52)/2</f>
        <v>0</v>
      </c>
      <c r="K52" s="20">
        <f>(+O52+S52)/2</f>
        <v>0</v>
      </c>
      <c r="L52" s="20"/>
      <c r="M52" s="20">
        <v>0</v>
      </c>
      <c r="N52" s="20">
        <v>0</v>
      </c>
      <c r="O52" s="20">
        <v>0</v>
      </c>
      <c r="P52" s="20"/>
      <c r="Q52" s="20">
        <v>182467</v>
      </c>
      <c r="R52" s="20">
        <v>0</v>
      </c>
      <c r="S52" s="20">
        <v>0</v>
      </c>
      <c r="T52" s="2"/>
      <c r="U52" s="2"/>
      <c r="V52" s="2"/>
      <c r="W52" s="2"/>
      <c r="X52" s="2"/>
      <c r="Y52" s="2"/>
    </row>
    <row r="53" spans="1:25" ht="15">
      <c r="A53" s="40">
        <f t="shared" si="0"/>
        <v>37</v>
      </c>
      <c r="B53" s="25" t="s">
        <v>182</v>
      </c>
      <c r="C53" s="20">
        <f t="shared" si="2"/>
        <v>0</v>
      </c>
      <c r="D53" s="20">
        <f t="shared" si="3"/>
        <v>0</v>
      </c>
      <c r="E53" s="20"/>
      <c r="F53" s="20"/>
      <c r="G53" s="20">
        <f t="shared" si="4"/>
        <v>0</v>
      </c>
      <c r="H53" s="20"/>
      <c r="I53" s="20">
        <f t="shared" si="1"/>
        <v>0</v>
      </c>
      <c r="J53" s="20">
        <f t="shared" si="1"/>
        <v>0</v>
      </c>
      <c r="K53" s="20">
        <f t="shared" si="1"/>
        <v>0</v>
      </c>
      <c r="L53" s="20"/>
      <c r="M53" s="20">
        <v>0</v>
      </c>
      <c r="N53" s="20">
        <v>0</v>
      </c>
      <c r="O53" s="20">
        <v>0</v>
      </c>
      <c r="P53" s="20"/>
      <c r="Q53" s="20">
        <v>0</v>
      </c>
      <c r="R53" s="20">
        <v>0</v>
      </c>
      <c r="S53" s="20">
        <v>0</v>
      </c>
      <c r="T53" s="2"/>
      <c r="U53" s="2"/>
      <c r="V53" s="2"/>
      <c r="W53" s="2"/>
      <c r="X53" s="2"/>
      <c r="Y53" s="2"/>
    </row>
    <row r="54" spans="1:25" ht="15">
      <c r="A54" s="40">
        <f t="shared" si="0"/>
        <v>38</v>
      </c>
      <c r="B54" s="25" t="s">
        <v>183</v>
      </c>
      <c r="C54" s="20">
        <f t="shared" si="2"/>
        <v>1934451.06</v>
      </c>
      <c r="D54" s="20">
        <f t="shared" si="3"/>
        <v>2141898.06</v>
      </c>
      <c r="E54" s="20"/>
      <c r="F54" s="20"/>
      <c r="G54" s="20">
        <f t="shared" si="4"/>
        <v>2038175</v>
      </c>
      <c r="H54" s="20"/>
      <c r="I54" s="20">
        <f t="shared" si="1"/>
        <v>2038174.56</v>
      </c>
      <c r="J54" s="20">
        <f t="shared" si="1"/>
        <v>0</v>
      </c>
      <c r="K54" s="20">
        <f t="shared" si="1"/>
        <v>0</v>
      </c>
      <c r="L54" s="20"/>
      <c r="M54" s="20">
        <v>1934451.06</v>
      </c>
      <c r="N54" s="20">
        <v>0</v>
      </c>
      <c r="O54" s="20">
        <v>0</v>
      </c>
      <c r="P54" s="20"/>
      <c r="Q54" s="20">
        <f>1934451.06+207447</f>
        <v>2141898.06</v>
      </c>
      <c r="R54" s="20">
        <v>0</v>
      </c>
      <c r="S54" s="20">
        <v>0</v>
      </c>
      <c r="T54" s="2"/>
      <c r="U54" s="2"/>
      <c r="V54" s="2"/>
      <c r="W54" s="2"/>
      <c r="X54" s="2"/>
      <c r="Y54" s="2"/>
    </row>
    <row r="55" spans="1:25" ht="15">
      <c r="A55" s="40">
        <f t="shared" si="0"/>
        <v>39</v>
      </c>
      <c r="B55" s="25" t="s">
        <v>184</v>
      </c>
      <c r="C55" s="20">
        <f t="shared" si="2"/>
        <v>781632.39</v>
      </c>
      <c r="D55" s="20">
        <f t="shared" si="3"/>
        <v>359054.83</v>
      </c>
      <c r="E55" s="20"/>
      <c r="F55" s="20"/>
      <c r="G55" s="20">
        <f t="shared" si="4"/>
        <v>570344</v>
      </c>
      <c r="H55" s="20"/>
      <c r="I55" s="20">
        <f t="shared" si="1"/>
        <v>570343.61</v>
      </c>
      <c r="J55" s="20">
        <f t="shared" si="1"/>
        <v>0</v>
      </c>
      <c r="K55" s="20">
        <f t="shared" si="1"/>
        <v>0</v>
      </c>
      <c r="L55" s="20"/>
      <c r="M55" s="20">
        <v>781632.39</v>
      </c>
      <c r="N55" s="20">
        <v>0</v>
      </c>
      <c r="O55" s="20">
        <v>0</v>
      </c>
      <c r="P55" s="20"/>
      <c r="Q55" s="20">
        <f>324279.83+34775</f>
        <v>359054.83</v>
      </c>
      <c r="R55" s="20">
        <v>0</v>
      </c>
      <c r="S55" s="20">
        <v>0</v>
      </c>
      <c r="T55" s="2"/>
      <c r="U55" s="2"/>
      <c r="V55" s="2"/>
      <c r="W55" s="2"/>
      <c r="X55" s="2"/>
      <c r="Y55" s="2"/>
    </row>
    <row r="56" spans="1:25" ht="15">
      <c r="A56" s="40">
        <f t="shared" si="0"/>
        <v>40</v>
      </c>
      <c r="B56" s="25" t="s">
        <v>185</v>
      </c>
      <c r="C56" s="20">
        <f t="shared" si="2"/>
        <v>601881.08</v>
      </c>
      <c r="D56" s="20">
        <f t="shared" si="3"/>
        <v>0</v>
      </c>
      <c r="E56" s="20"/>
      <c r="F56" s="20"/>
      <c r="G56" s="20">
        <f t="shared" si="4"/>
        <v>300941</v>
      </c>
      <c r="H56" s="20"/>
      <c r="I56" s="20">
        <f t="shared" si="1"/>
        <v>300940.54</v>
      </c>
      <c r="J56" s="20">
        <f t="shared" si="1"/>
        <v>0</v>
      </c>
      <c r="K56" s="20">
        <f t="shared" si="1"/>
        <v>0</v>
      </c>
      <c r="L56" s="20"/>
      <c r="M56" s="20">
        <v>601881.08</v>
      </c>
      <c r="N56" s="20">
        <v>0</v>
      </c>
      <c r="O56" s="20">
        <v>0</v>
      </c>
      <c r="P56" s="20"/>
      <c r="Q56" s="20">
        <v>0</v>
      </c>
      <c r="R56" s="20">
        <v>0</v>
      </c>
      <c r="S56" s="20">
        <v>0</v>
      </c>
      <c r="T56" s="2"/>
      <c r="U56" s="2"/>
      <c r="V56" s="2"/>
      <c r="W56" s="2"/>
      <c r="X56" s="2"/>
      <c r="Y56" s="2"/>
    </row>
    <row r="57" spans="1:25" ht="15">
      <c r="A57" s="40">
        <f t="shared" si="0"/>
        <v>41</v>
      </c>
      <c r="B57" s="25" t="s">
        <v>186</v>
      </c>
      <c r="C57" s="20">
        <f t="shared" si="2"/>
        <v>-1.05</v>
      </c>
      <c r="D57" s="20">
        <f t="shared" si="3"/>
        <v>-1.05</v>
      </c>
      <c r="E57" s="20"/>
      <c r="F57" s="20"/>
      <c r="G57" s="20">
        <f t="shared" si="4"/>
        <v>-1</v>
      </c>
      <c r="H57" s="20"/>
      <c r="I57" s="20">
        <f t="shared" si="1"/>
        <v>-1.05</v>
      </c>
      <c r="J57" s="20">
        <f t="shared" si="1"/>
        <v>0</v>
      </c>
      <c r="K57" s="20">
        <f t="shared" si="1"/>
        <v>0</v>
      </c>
      <c r="L57" s="20"/>
      <c r="M57" s="20">
        <v>-1.05</v>
      </c>
      <c r="N57" s="20">
        <v>0</v>
      </c>
      <c r="O57" s="20">
        <v>0</v>
      </c>
      <c r="P57" s="20"/>
      <c r="Q57" s="20">
        <v>-1.05</v>
      </c>
      <c r="R57" s="20">
        <v>0</v>
      </c>
      <c r="S57" s="20">
        <v>0</v>
      </c>
      <c r="T57" s="2"/>
      <c r="U57" s="2"/>
      <c r="V57" s="2"/>
      <c r="W57" s="2"/>
      <c r="X57" s="2"/>
      <c r="Y57" s="2"/>
    </row>
    <row r="58" spans="1:25" ht="15">
      <c r="A58" s="40">
        <f t="shared" si="0"/>
        <v>42</v>
      </c>
      <c r="B58" s="25" t="s">
        <v>187</v>
      </c>
      <c r="C58" s="20">
        <f t="shared" si="2"/>
        <v>553641.58</v>
      </c>
      <c r="D58" s="20">
        <f t="shared" si="3"/>
        <v>492828.56</v>
      </c>
      <c r="E58" s="20"/>
      <c r="F58" s="20"/>
      <c r="G58" s="20">
        <f t="shared" si="4"/>
        <v>523235</v>
      </c>
      <c r="H58" s="20"/>
      <c r="I58" s="20">
        <f t="shared" si="1"/>
        <v>0</v>
      </c>
      <c r="J58" s="20">
        <f t="shared" si="1"/>
        <v>523235.06999999995</v>
      </c>
      <c r="K58" s="20">
        <f t="shared" si="1"/>
        <v>0</v>
      </c>
      <c r="L58" s="20"/>
      <c r="M58" s="20">
        <v>0</v>
      </c>
      <c r="N58" s="20">
        <v>553641.58</v>
      </c>
      <c r="O58" s="20">
        <v>0</v>
      </c>
      <c r="P58" s="20"/>
      <c r="Q58" s="20">
        <v>0</v>
      </c>
      <c r="R58" s="20">
        <v>492828.56</v>
      </c>
      <c r="S58" s="20">
        <v>0</v>
      </c>
      <c r="T58" s="2"/>
      <c r="U58" s="2"/>
      <c r="V58" s="2"/>
      <c r="W58" s="2"/>
      <c r="X58" s="2"/>
      <c r="Y58" s="2"/>
    </row>
    <row r="59" spans="1:25" ht="15">
      <c r="A59" s="40">
        <f t="shared" si="0"/>
        <v>43</v>
      </c>
      <c r="B59" s="25" t="s">
        <v>188</v>
      </c>
      <c r="C59" s="20">
        <f t="shared" si="2"/>
        <v>0</v>
      </c>
      <c r="D59" s="20">
        <f t="shared" si="3"/>
        <v>0</v>
      </c>
      <c r="E59" s="20"/>
      <c r="F59" s="20"/>
      <c r="G59" s="20">
        <f t="shared" si="4"/>
        <v>0</v>
      </c>
      <c r="H59" s="20"/>
      <c r="I59" s="20">
        <f t="shared" si="1"/>
        <v>0</v>
      </c>
      <c r="J59" s="20">
        <f t="shared" si="1"/>
        <v>0</v>
      </c>
      <c r="K59" s="20">
        <f t="shared" si="1"/>
        <v>0</v>
      </c>
      <c r="L59" s="20"/>
      <c r="M59" s="20">
        <v>0</v>
      </c>
      <c r="N59" s="20">
        <v>0</v>
      </c>
      <c r="O59" s="20">
        <v>0</v>
      </c>
      <c r="P59" s="20"/>
      <c r="Q59" s="20">
        <v>0</v>
      </c>
      <c r="R59" s="20">
        <v>0</v>
      </c>
      <c r="S59" s="20">
        <v>0</v>
      </c>
      <c r="T59" s="2"/>
      <c r="U59" s="2"/>
      <c r="V59" s="2"/>
      <c r="W59" s="2"/>
      <c r="X59" s="2"/>
      <c r="Y59" s="2"/>
    </row>
    <row r="60" spans="1:25" ht="15">
      <c r="A60" s="40">
        <f t="shared" si="0"/>
        <v>44</v>
      </c>
      <c r="B60" s="25" t="s">
        <v>189</v>
      </c>
      <c r="C60" s="20">
        <f t="shared" si="2"/>
        <v>13422</v>
      </c>
      <c r="D60" s="20">
        <f t="shared" si="3"/>
        <v>13422</v>
      </c>
      <c r="E60" s="20"/>
      <c r="F60" s="20"/>
      <c r="G60" s="20">
        <f t="shared" si="4"/>
        <v>13422</v>
      </c>
      <c r="H60" s="20"/>
      <c r="I60" s="20">
        <f t="shared" si="1"/>
        <v>13422</v>
      </c>
      <c r="J60" s="20">
        <f t="shared" si="1"/>
        <v>0</v>
      </c>
      <c r="K60" s="20">
        <f t="shared" si="1"/>
        <v>0</v>
      </c>
      <c r="L60" s="20"/>
      <c r="M60" s="20">
        <v>13422</v>
      </c>
      <c r="N60" s="20">
        <v>0</v>
      </c>
      <c r="O60" s="20">
        <v>0</v>
      </c>
      <c r="P60" s="20"/>
      <c r="Q60" s="20">
        <v>13422</v>
      </c>
      <c r="R60" s="20">
        <v>0</v>
      </c>
      <c r="S60" s="20">
        <v>0</v>
      </c>
      <c r="T60" s="2"/>
      <c r="U60" s="2"/>
      <c r="V60" s="2"/>
      <c r="W60" s="2"/>
      <c r="X60" s="2"/>
      <c r="Y60" s="2"/>
    </row>
    <row r="61" spans="1:25" ht="15">
      <c r="A61" s="40">
        <f t="shared" si="0"/>
        <v>45</v>
      </c>
      <c r="B61" s="25" t="s">
        <v>190</v>
      </c>
      <c r="C61" s="20">
        <f t="shared" si="2"/>
        <v>15660</v>
      </c>
      <c r="D61" s="20">
        <f t="shared" si="3"/>
        <v>15660</v>
      </c>
      <c r="E61" s="20"/>
      <c r="F61" s="20"/>
      <c r="G61" s="20">
        <f t="shared" si="4"/>
        <v>15660</v>
      </c>
      <c r="H61" s="20"/>
      <c r="I61" s="20">
        <f t="shared" si="1"/>
        <v>15660</v>
      </c>
      <c r="J61" s="20">
        <f t="shared" si="1"/>
        <v>0</v>
      </c>
      <c r="K61" s="20">
        <f t="shared" si="1"/>
        <v>0</v>
      </c>
      <c r="L61" s="20"/>
      <c r="M61" s="20">
        <v>15660</v>
      </c>
      <c r="N61" s="20">
        <v>0</v>
      </c>
      <c r="O61" s="20">
        <v>0</v>
      </c>
      <c r="P61" s="20"/>
      <c r="Q61" s="20">
        <v>15660</v>
      </c>
      <c r="R61" s="20">
        <v>0</v>
      </c>
      <c r="S61" s="20">
        <v>0</v>
      </c>
      <c r="T61" s="2"/>
      <c r="U61" s="2"/>
      <c r="V61" s="2"/>
      <c r="W61" s="2"/>
      <c r="X61" s="2"/>
      <c r="Y61" s="2"/>
    </row>
    <row r="62" spans="1:25" ht="15">
      <c r="A62" s="40">
        <f t="shared" si="0"/>
        <v>46</v>
      </c>
      <c r="B62" s="25" t="s">
        <v>191</v>
      </c>
      <c r="C62" s="20">
        <f t="shared" si="2"/>
        <v>99325</v>
      </c>
      <c r="D62" s="20">
        <f t="shared" si="3"/>
        <v>99325</v>
      </c>
      <c r="E62" s="20"/>
      <c r="F62" s="20"/>
      <c r="G62" s="20">
        <f t="shared" si="4"/>
        <v>99325</v>
      </c>
      <c r="H62" s="20"/>
      <c r="I62" s="20">
        <f t="shared" si="1"/>
        <v>99325</v>
      </c>
      <c r="J62" s="20">
        <f t="shared" si="1"/>
        <v>0</v>
      </c>
      <c r="K62" s="20">
        <f t="shared" si="1"/>
        <v>0</v>
      </c>
      <c r="L62" s="20"/>
      <c r="M62" s="20">
        <v>99325</v>
      </c>
      <c r="N62" s="20">
        <v>0</v>
      </c>
      <c r="O62" s="20">
        <v>0</v>
      </c>
      <c r="P62" s="20"/>
      <c r="Q62" s="20">
        <v>99325</v>
      </c>
      <c r="R62" s="20">
        <v>0</v>
      </c>
      <c r="S62" s="20">
        <v>0</v>
      </c>
      <c r="T62" s="2"/>
      <c r="U62" s="2"/>
      <c r="V62" s="2"/>
      <c r="W62" s="2"/>
      <c r="X62" s="2"/>
      <c r="Y62" s="2"/>
    </row>
    <row r="63" spans="1:25" ht="15">
      <c r="A63" s="40">
        <f t="shared" si="0"/>
        <v>47</v>
      </c>
      <c r="B63" s="25" t="s">
        <v>192</v>
      </c>
      <c r="C63" s="20">
        <f t="shared" si="2"/>
        <v>6218</v>
      </c>
      <c r="D63" s="20">
        <f t="shared" si="3"/>
        <v>6218</v>
      </c>
      <c r="E63" s="20"/>
      <c r="F63" s="20"/>
      <c r="G63" s="20">
        <f t="shared" si="4"/>
        <v>6218</v>
      </c>
      <c r="H63" s="20"/>
      <c r="I63" s="20">
        <f t="shared" si="1"/>
        <v>6218</v>
      </c>
      <c r="J63" s="20">
        <f t="shared" si="1"/>
        <v>0</v>
      </c>
      <c r="K63" s="20">
        <f t="shared" si="1"/>
        <v>0</v>
      </c>
      <c r="L63" s="20"/>
      <c r="M63" s="20">
        <v>6218</v>
      </c>
      <c r="N63" s="20">
        <v>0</v>
      </c>
      <c r="O63" s="20">
        <v>0</v>
      </c>
      <c r="P63" s="20"/>
      <c r="Q63" s="20">
        <v>6218</v>
      </c>
      <c r="R63" s="20">
        <v>0</v>
      </c>
      <c r="S63" s="20">
        <v>0</v>
      </c>
      <c r="T63" s="2"/>
      <c r="U63" s="2"/>
      <c r="V63" s="2"/>
      <c r="W63" s="2"/>
      <c r="X63" s="2"/>
      <c r="Y63" s="2"/>
    </row>
    <row r="64" spans="1:25" ht="15">
      <c r="A64" s="40">
        <f t="shared" si="0"/>
        <v>48</v>
      </c>
      <c r="B64" s="41" t="s">
        <v>672</v>
      </c>
      <c r="C64" s="20">
        <f>SUM(M64:O64)</f>
        <v>0</v>
      </c>
      <c r="D64" s="20">
        <f>SUM(Q64:S64)</f>
        <v>160441</v>
      </c>
      <c r="E64" s="20"/>
      <c r="F64" s="20"/>
      <c r="G64" s="20">
        <f>ROUND(SUM(C64:F64)/2,0)</f>
        <v>80221</v>
      </c>
      <c r="H64" s="20"/>
      <c r="I64" s="20">
        <f>(+M64+Q64)/2</f>
        <v>80220.5</v>
      </c>
      <c r="J64" s="20">
        <f>(+N64+R64)/2</f>
        <v>0</v>
      </c>
      <c r="K64" s="20">
        <f>(+O64+S64)/2</f>
        <v>0</v>
      </c>
      <c r="L64" s="20"/>
      <c r="M64" s="20">
        <v>0</v>
      </c>
      <c r="N64" s="20">
        <v>0</v>
      </c>
      <c r="O64" s="20">
        <v>0</v>
      </c>
      <c r="P64" s="20"/>
      <c r="Q64" s="20">
        <v>160441</v>
      </c>
      <c r="R64" s="20">
        <v>0</v>
      </c>
      <c r="S64" s="20">
        <v>0</v>
      </c>
      <c r="T64" s="2"/>
      <c r="U64" s="2"/>
      <c r="V64" s="2"/>
      <c r="W64" s="2"/>
      <c r="X64" s="2"/>
      <c r="Y64" s="2"/>
    </row>
    <row r="65" spans="1:25" ht="15">
      <c r="A65" s="40">
        <f t="shared" si="0"/>
        <v>49</v>
      </c>
      <c r="B65" s="25" t="s">
        <v>193</v>
      </c>
      <c r="C65" s="20">
        <f t="shared" si="2"/>
        <v>368903.85</v>
      </c>
      <c r="D65" s="20">
        <f t="shared" si="3"/>
        <v>380022.85</v>
      </c>
      <c r="E65" s="20"/>
      <c r="F65" s="20"/>
      <c r="G65" s="20">
        <f t="shared" si="4"/>
        <v>374463</v>
      </c>
      <c r="H65" s="20"/>
      <c r="I65" s="20">
        <f t="shared" si="1"/>
        <v>374463.35</v>
      </c>
      <c r="J65" s="20">
        <f t="shared" si="1"/>
        <v>0</v>
      </c>
      <c r="K65" s="20">
        <f t="shared" si="1"/>
        <v>0</v>
      </c>
      <c r="L65" s="20"/>
      <c r="M65" s="20">
        <v>368903.85</v>
      </c>
      <c r="N65" s="20">
        <v>0</v>
      </c>
      <c r="O65" s="20">
        <v>0</v>
      </c>
      <c r="P65" s="20"/>
      <c r="Q65" s="20">
        <f>368903.85+11119</f>
        <v>380022.85</v>
      </c>
      <c r="R65" s="20">
        <v>0</v>
      </c>
      <c r="S65" s="20">
        <v>0</v>
      </c>
      <c r="T65" s="2"/>
      <c r="U65" s="2"/>
      <c r="V65" s="2"/>
      <c r="W65" s="2"/>
      <c r="X65" s="2"/>
      <c r="Y65" s="2"/>
    </row>
    <row r="66" spans="1:25" ht="15">
      <c r="A66" s="40">
        <f t="shared" si="0"/>
        <v>50</v>
      </c>
      <c r="B66" s="25" t="s">
        <v>194</v>
      </c>
      <c r="C66" s="20">
        <f t="shared" si="2"/>
        <v>0</v>
      </c>
      <c r="D66" s="20">
        <f t="shared" si="3"/>
        <v>-20000</v>
      </c>
      <c r="E66" s="20"/>
      <c r="F66" s="20"/>
      <c r="G66" s="20">
        <f t="shared" si="4"/>
        <v>-10000</v>
      </c>
      <c r="H66" s="20"/>
      <c r="I66" s="20">
        <f t="shared" si="1"/>
        <v>-10000</v>
      </c>
      <c r="J66" s="20">
        <f t="shared" si="1"/>
        <v>0</v>
      </c>
      <c r="K66" s="20">
        <f t="shared" si="1"/>
        <v>0</v>
      </c>
      <c r="L66" s="20"/>
      <c r="M66" s="20">
        <v>0</v>
      </c>
      <c r="N66" s="20">
        <v>0</v>
      </c>
      <c r="O66" s="20">
        <v>0</v>
      </c>
      <c r="P66" s="20"/>
      <c r="Q66" s="20">
        <v>-20000</v>
      </c>
      <c r="R66" s="20">
        <v>0</v>
      </c>
      <c r="S66" s="20">
        <v>0</v>
      </c>
      <c r="T66" s="2"/>
      <c r="U66" s="2"/>
      <c r="V66" s="2"/>
      <c r="W66" s="2"/>
      <c r="X66" s="2"/>
      <c r="Y66" s="2"/>
    </row>
    <row r="67" spans="1:25" ht="15">
      <c r="A67" s="40">
        <f t="shared" si="0"/>
        <v>51</v>
      </c>
      <c r="B67" s="25" t="s">
        <v>195</v>
      </c>
      <c r="C67" s="20">
        <f t="shared" si="2"/>
        <v>502774.16</v>
      </c>
      <c r="D67" s="20">
        <f t="shared" si="3"/>
        <v>595396.8</v>
      </c>
      <c r="E67" s="20"/>
      <c r="F67" s="20"/>
      <c r="G67" s="20">
        <f t="shared" si="4"/>
        <v>549085</v>
      </c>
      <c r="H67" s="20"/>
      <c r="I67" s="20">
        <f t="shared" si="1"/>
        <v>0</v>
      </c>
      <c r="J67" s="20">
        <f t="shared" si="1"/>
        <v>0</v>
      </c>
      <c r="K67" s="20">
        <f t="shared" si="1"/>
        <v>549085.48</v>
      </c>
      <c r="L67" s="20"/>
      <c r="M67" s="20">
        <v>0</v>
      </c>
      <c r="N67" s="20">
        <v>0</v>
      </c>
      <c r="O67" s="20">
        <v>502774.16</v>
      </c>
      <c r="P67" s="20"/>
      <c r="Q67" s="20">
        <v>0</v>
      </c>
      <c r="R67" s="20">
        <v>0</v>
      </c>
      <c r="S67" s="20">
        <v>595396.8</v>
      </c>
      <c r="T67" s="2"/>
      <c r="U67" s="2"/>
      <c r="V67" s="2"/>
      <c r="W67" s="2"/>
      <c r="X67" s="2"/>
      <c r="Y67" s="2"/>
    </row>
    <row r="68" spans="1:25" ht="15">
      <c r="A68" s="40">
        <f t="shared" si="0"/>
        <v>52</v>
      </c>
      <c r="B68" s="25" t="s">
        <v>196</v>
      </c>
      <c r="C68" s="20">
        <f t="shared" si="2"/>
        <v>644525.45</v>
      </c>
      <c r="D68" s="20">
        <f>SUM(Q68:S68)</f>
        <v>580072.96</v>
      </c>
      <c r="E68" s="20"/>
      <c r="F68" s="20"/>
      <c r="G68" s="20">
        <f>ROUND(SUM(C68:F68)/2,0)</f>
        <v>612299</v>
      </c>
      <c r="H68" s="20"/>
      <c r="I68" s="20">
        <f t="shared" si="1"/>
        <v>0</v>
      </c>
      <c r="J68" s="20">
        <f t="shared" si="1"/>
        <v>612299.205</v>
      </c>
      <c r="K68" s="20">
        <f t="shared" si="1"/>
        <v>0</v>
      </c>
      <c r="L68" s="20"/>
      <c r="M68" s="20">
        <v>0</v>
      </c>
      <c r="N68" s="20">
        <v>644525.45</v>
      </c>
      <c r="O68" s="20">
        <v>0</v>
      </c>
      <c r="P68" s="20"/>
      <c r="Q68" s="20">
        <v>0</v>
      </c>
      <c r="R68" s="20">
        <v>580072.96</v>
      </c>
      <c r="S68" s="20">
        <v>0</v>
      </c>
      <c r="T68" s="2"/>
      <c r="U68" s="2"/>
      <c r="V68" s="2"/>
      <c r="W68" s="2"/>
      <c r="X68" s="2"/>
      <c r="Y68" s="2"/>
    </row>
    <row r="69" spans="1:25" ht="15">
      <c r="A69" s="40">
        <f t="shared" si="0"/>
        <v>53</v>
      </c>
      <c r="B69" s="25" t="s">
        <v>197</v>
      </c>
      <c r="C69" s="20">
        <f t="shared" si="2"/>
        <v>7501633.16</v>
      </c>
      <c r="D69" s="20">
        <f t="shared" si="3"/>
        <v>5547268.3</v>
      </c>
      <c r="E69" s="20"/>
      <c r="F69" s="20"/>
      <c r="G69" s="20">
        <f t="shared" si="4"/>
        <v>6524451</v>
      </c>
      <c r="H69" s="20"/>
      <c r="I69" s="20">
        <f t="shared" si="1"/>
        <v>6524450.73</v>
      </c>
      <c r="J69" s="20">
        <f t="shared" si="1"/>
        <v>0</v>
      </c>
      <c r="K69" s="20">
        <f t="shared" si="1"/>
        <v>0</v>
      </c>
      <c r="L69" s="20"/>
      <c r="M69" s="20">
        <v>7501633.16</v>
      </c>
      <c r="N69" s="20">
        <v>0</v>
      </c>
      <c r="O69" s="20">
        <v>0</v>
      </c>
      <c r="P69" s="20"/>
      <c r="Q69" s="20">
        <v>5547268.3</v>
      </c>
      <c r="R69" s="20">
        <v>0</v>
      </c>
      <c r="S69" s="20">
        <v>0</v>
      </c>
      <c r="T69" s="2"/>
      <c r="U69" s="2"/>
      <c r="V69" s="2"/>
      <c r="W69" s="2"/>
      <c r="X69" s="2"/>
      <c r="Y69" s="2"/>
    </row>
    <row r="70" spans="1:25" ht="15">
      <c r="A70" s="40">
        <f t="shared" si="0"/>
        <v>54</v>
      </c>
      <c r="B70" s="25" t="s">
        <v>198</v>
      </c>
      <c r="C70" s="20">
        <f t="shared" si="2"/>
        <v>-4579396.62</v>
      </c>
      <c r="D70" s="20">
        <f>SUM(Q70:S70)</f>
        <v>0</v>
      </c>
      <c r="E70" s="20"/>
      <c r="F70" s="20"/>
      <c r="G70" s="20">
        <f>ROUND(SUM(C70:F70)/2,0)</f>
        <v>-2289698</v>
      </c>
      <c r="H70" s="20"/>
      <c r="I70" s="20">
        <f t="shared" si="1"/>
        <v>0</v>
      </c>
      <c r="J70" s="20">
        <f t="shared" si="1"/>
        <v>0</v>
      </c>
      <c r="K70" s="20">
        <f t="shared" si="1"/>
        <v>-2289698.31</v>
      </c>
      <c r="L70" s="20"/>
      <c r="M70" s="20">
        <v>0</v>
      </c>
      <c r="N70" s="20">
        <v>0</v>
      </c>
      <c r="O70" s="20">
        <v>-4579396.62</v>
      </c>
      <c r="P70" s="20"/>
      <c r="Q70" s="20">
        <v>0</v>
      </c>
      <c r="R70" s="20">
        <v>0</v>
      </c>
      <c r="S70" s="20">
        <v>0</v>
      </c>
      <c r="T70" s="2"/>
      <c r="U70" s="2"/>
      <c r="V70" s="2"/>
      <c r="W70" s="2"/>
      <c r="X70" s="2"/>
      <c r="Y70" s="2"/>
    </row>
    <row r="71" spans="1:25" ht="15">
      <c r="A71" s="40">
        <f t="shared" si="0"/>
        <v>55</v>
      </c>
      <c r="B71" s="25" t="s">
        <v>199</v>
      </c>
      <c r="C71" s="20">
        <f t="shared" si="2"/>
        <v>-1671.1499999999999</v>
      </c>
      <c r="D71" s="20">
        <f t="shared" si="3"/>
        <v>17561.35</v>
      </c>
      <c r="E71" s="20"/>
      <c r="F71" s="20"/>
      <c r="G71" s="20">
        <f t="shared" si="4"/>
        <v>7945</v>
      </c>
      <c r="H71" s="20"/>
      <c r="I71" s="20">
        <f t="shared" si="1"/>
        <v>6120.724999999999</v>
      </c>
      <c r="J71" s="20">
        <f t="shared" si="1"/>
        <v>-2060.675</v>
      </c>
      <c r="K71" s="20">
        <f t="shared" si="1"/>
        <v>3885.0499999999997</v>
      </c>
      <c r="L71" s="20"/>
      <c r="M71" s="20">
        <v>1850.9</v>
      </c>
      <c r="N71" s="20">
        <v>-4195.5</v>
      </c>
      <c r="O71" s="20">
        <v>673.45</v>
      </c>
      <c r="P71" s="20"/>
      <c r="Q71" s="20">
        <v>10390.55</v>
      </c>
      <c r="R71" s="20">
        <v>74.15</v>
      </c>
      <c r="S71" s="20">
        <v>7096.65</v>
      </c>
      <c r="T71" s="2"/>
      <c r="U71" s="2"/>
      <c r="V71" s="2"/>
      <c r="W71" s="2"/>
      <c r="X71" s="2"/>
      <c r="Y71" s="2"/>
    </row>
    <row r="72" spans="1:25" ht="15">
      <c r="A72" s="40">
        <f t="shared" si="0"/>
        <v>56</v>
      </c>
      <c r="B72" s="25" t="s">
        <v>200</v>
      </c>
      <c r="C72" s="20">
        <f t="shared" si="2"/>
        <v>1562326</v>
      </c>
      <c r="D72" s="20">
        <f t="shared" si="3"/>
        <v>1562326</v>
      </c>
      <c r="E72" s="20"/>
      <c r="F72" s="20"/>
      <c r="G72" s="20">
        <f t="shared" si="4"/>
        <v>1562326</v>
      </c>
      <c r="H72" s="20"/>
      <c r="I72" s="20">
        <f t="shared" si="1"/>
        <v>0</v>
      </c>
      <c r="J72" s="20">
        <f t="shared" si="1"/>
        <v>1562326</v>
      </c>
      <c r="K72" s="20">
        <f t="shared" si="1"/>
        <v>0</v>
      </c>
      <c r="L72" s="20"/>
      <c r="M72" s="20">
        <v>0</v>
      </c>
      <c r="N72" s="20">
        <v>1562326</v>
      </c>
      <c r="O72" s="20">
        <v>0</v>
      </c>
      <c r="P72" s="20"/>
      <c r="Q72" s="20">
        <v>0</v>
      </c>
      <c r="R72" s="20">
        <v>1562326</v>
      </c>
      <c r="S72" s="20">
        <v>0</v>
      </c>
      <c r="T72" s="2"/>
      <c r="U72" s="2"/>
      <c r="V72" s="2"/>
      <c r="W72" s="2"/>
      <c r="X72" s="2"/>
      <c r="Y72" s="2"/>
    </row>
    <row r="73" spans="1:25" ht="15">
      <c r="A73" s="40">
        <f t="shared" si="0"/>
        <v>57</v>
      </c>
      <c r="B73" s="25" t="s">
        <v>201</v>
      </c>
      <c r="C73" s="20">
        <f t="shared" si="2"/>
        <v>12820415.85</v>
      </c>
      <c r="D73" s="20">
        <f t="shared" si="3"/>
        <v>6349500.79</v>
      </c>
      <c r="E73" s="20"/>
      <c r="F73" s="20"/>
      <c r="G73" s="20">
        <f t="shared" si="4"/>
        <v>9584958</v>
      </c>
      <c r="H73" s="20"/>
      <c r="I73" s="20">
        <f t="shared" si="1"/>
        <v>3859284.645</v>
      </c>
      <c r="J73" s="20">
        <f t="shared" si="1"/>
        <v>681730.8200000001</v>
      </c>
      <c r="K73" s="20">
        <f t="shared" si="1"/>
        <v>5043942.8549999995</v>
      </c>
      <c r="L73" s="20"/>
      <c r="M73" s="20">
        <v>5286562.17</v>
      </c>
      <c r="N73" s="20">
        <v>870055.75</v>
      </c>
      <c r="O73" s="20">
        <v>6663797.93</v>
      </c>
      <c r="P73" s="20"/>
      <c r="Q73" s="20">
        <v>2432007.12</v>
      </c>
      <c r="R73" s="20">
        <v>493405.89</v>
      </c>
      <c r="S73" s="20">
        <v>3424087.78</v>
      </c>
      <c r="T73" s="2"/>
      <c r="U73" s="2"/>
      <c r="V73" s="2"/>
      <c r="W73" s="2"/>
      <c r="X73" s="2"/>
      <c r="Y73" s="2"/>
    </row>
    <row r="74" spans="1:25" ht="15">
      <c r="A74" s="40">
        <f t="shared" si="0"/>
        <v>58</v>
      </c>
      <c r="B74" s="25" t="s">
        <v>202</v>
      </c>
      <c r="C74" s="20">
        <f t="shared" si="2"/>
        <v>8975659.700000001</v>
      </c>
      <c r="D74" s="20">
        <f>SUM(Q74:S74)</f>
        <v>11569715.85</v>
      </c>
      <c r="E74" s="20"/>
      <c r="F74" s="20"/>
      <c r="G74" s="20">
        <f>ROUND(SUM(C74:F74)/2,0)</f>
        <v>10272688</v>
      </c>
      <c r="H74" s="20"/>
      <c r="I74" s="20">
        <f t="shared" si="1"/>
        <v>5124405.475</v>
      </c>
      <c r="J74" s="20">
        <f t="shared" si="1"/>
        <v>476668.85</v>
      </c>
      <c r="K74" s="20">
        <f t="shared" si="1"/>
        <v>4671613.45</v>
      </c>
      <c r="L74" s="20"/>
      <c r="M74" s="20">
        <v>4435384.45</v>
      </c>
      <c r="N74" s="20">
        <v>430083.15</v>
      </c>
      <c r="O74" s="20">
        <v>4110192.1</v>
      </c>
      <c r="P74" s="20"/>
      <c r="Q74" s="20">
        <v>5813426.5</v>
      </c>
      <c r="R74" s="20">
        <v>523254.55</v>
      </c>
      <c r="S74" s="20">
        <v>5233034.8</v>
      </c>
      <c r="T74" s="2"/>
      <c r="U74" s="2"/>
      <c r="V74" s="2"/>
      <c r="W74" s="2"/>
      <c r="X74" s="2"/>
      <c r="Y74" s="2"/>
    </row>
    <row r="75" spans="1:25" ht="15">
      <c r="A75" s="40">
        <f t="shared" si="0"/>
        <v>59</v>
      </c>
      <c r="B75" s="25" t="s">
        <v>203</v>
      </c>
      <c r="C75" s="20">
        <f t="shared" si="2"/>
        <v>4616160.890000001</v>
      </c>
      <c r="D75" s="20">
        <f>SUM(Q75:S75)</f>
        <v>-8915685.87</v>
      </c>
      <c r="E75" s="20"/>
      <c r="F75" s="20"/>
      <c r="G75" s="20">
        <f>ROUND(SUM(C75:F75)/2,0)</f>
        <v>-2149762</v>
      </c>
      <c r="H75" s="20"/>
      <c r="I75" s="20">
        <f t="shared" si="1"/>
        <v>-925455.605</v>
      </c>
      <c r="J75" s="20">
        <f t="shared" si="1"/>
        <v>-135203.305</v>
      </c>
      <c r="K75" s="20">
        <f t="shared" si="1"/>
        <v>-1089103.5799999998</v>
      </c>
      <c r="L75" s="20"/>
      <c r="M75" s="20">
        <v>1970006.69</v>
      </c>
      <c r="N75" s="20">
        <v>316204.35</v>
      </c>
      <c r="O75" s="20">
        <v>2329949.85</v>
      </c>
      <c r="P75" s="20"/>
      <c r="Q75" s="20">
        <v>-3820917.9</v>
      </c>
      <c r="R75" s="20">
        <v>-586610.96</v>
      </c>
      <c r="S75" s="20">
        <v>-4508157.01</v>
      </c>
      <c r="T75" s="2"/>
      <c r="U75" s="2"/>
      <c r="V75" s="2"/>
      <c r="W75" s="2"/>
      <c r="X75" s="2"/>
      <c r="Y75" s="2"/>
    </row>
    <row r="76" spans="1:25" ht="15">
      <c r="A76" s="40">
        <f t="shared" si="0"/>
        <v>60</v>
      </c>
      <c r="B76" s="25" t="s">
        <v>204</v>
      </c>
      <c r="C76" s="20">
        <f t="shared" si="2"/>
        <v>7960049.99</v>
      </c>
      <c r="D76" s="20">
        <f t="shared" si="3"/>
        <v>6947919.09</v>
      </c>
      <c r="E76" s="20"/>
      <c r="F76" s="20"/>
      <c r="G76" s="20">
        <f t="shared" si="4"/>
        <v>7453985</v>
      </c>
      <c r="H76" s="20"/>
      <c r="I76" s="20">
        <f t="shared" si="1"/>
        <v>3413787.675</v>
      </c>
      <c r="J76" s="20">
        <f t="shared" si="1"/>
        <v>810912.51</v>
      </c>
      <c r="K76" s="20">
        <f t="shared" si="1"/>
        <v>3229284.355</v>
      </c>
      <c r="L76" s="20"/>
      <c r="M76" s="20">
        <v>3519244.06</v>
      </c>
      <c r="N76" s="20">
        <v>695032.79</v>
      </c>
      <c r="O76" s="20">
        <v>3745773.14</v>
      </c>
      <c r="P76" s="20"/>
      <c r="Q76" s="20">
        <v>3308331.29</v>
      </c>
      <c r="R76" s="20">
        <v>926792.23</v>
      </c>
      <c r="S76" s="20">
        <v>2712795.57</v>
      </c>
      <c r="T76" s="2"/>
      <c r="U76" s="2"/>
      <c r="V76" s="2"/>
      <c r="W76" s="2"/>
      <c r="X76" s="2"/>
      <c r="Y76" s="2"/>
    </row>
    <row r="77" spans="1:25" ht="15">
      <c r="A77" s="40">
        <f t="shared" si="0"/>
        <v>61</v>
      </c>
      <c r="B77" s="25" t="s">
        <v>205</v>
      </c>
      <c r="C77" s="20">
        <f t="shared" si="2"/>
        <v>36837022.42</v>
      </c>
      <c r="D77" s="20">
        <f t="shared" si="3"/>
        <v>49704741.77</v>
      </c>
      <c r="E77" s="20"/>
      <c r="F77" s="20"/>
      <c r="G77" s="20">
        <f t="shared" si="4"/>
        <v>43270882</v>
      </c>
      <c r="H77" s="20"/>
      <c r="I77" s="20">
        <f t="shared" si="1"/>
        <v>42879023.825</v>
      </c>
      <c r="J77" s="20">
        <f t="shared" si="1"/>
        <v>6593.6900000000005</v>
      </c>
      <c r="K77" s="20">
        <f t="shared" si="1"/>
        <v>385264.57999999996</v>
      </c>
      <c r="L77" s="20"/>
      <c r="M77" s="20">
        <v>36450650.01</v>
      </c>
      <c r="N77" s="20">
        <v>6392.56</v>
      </c>
      <c r="O77" s="20">
        <v>379979.85</v>
      </c>
      <c r="P77" s="20"/>
      <c r="Q77" s="20">
        <f>38698388.64+10609009</f>
        <v>49307397.64</v>
      </c>
      <c r="R77" s="20">
        <v>6794.82</v>
      </c>
      <c r="S77" s="20">
        <v>390549.31</v>
      </c>
      <c r="T77" s="2"/>
      <c r="U77" s="2"/>
      <c r="V77" s="2"/>
      <c r="W77" s="2"/>
      <c r="X77" s="2"/>
      <c r="Y77" s="2"/>
    </row>
    <row r="78" spans="1:25" ht="15">
      <c r="A78" s="40">
        <f t="shared" si="0"/>
        <v>62</v>
      </c>
      <c r="B78" s="25" t="s">
        <v>206</v>
      </c>
      <c r="C78" s="20">
        <f t="shared" si="2"/>
        <v>-5736881.42</v>
      </c>
      <c r="D78" s="20">
        <f>SUM(Q78:S78)</f>
        <v>-5729453.37</v>
      </c>
      <c r="E78" s="20"/>
      <c r="F78" s="20"/>
      <c r="G78" s="20">
        <f>ROUND(SUM(C78:F78)/2,0)</f>
        <v>-5733167</v>
      </c>
      <c r="H78" s="20"/>
      <c r="I78" s="20">
        <f t="shared" si="1"/>
        <v>-2430778.715</v>
      </c>
      <c r="J78" s="20">
        <f t="shared" si="1"/>
        <v>-351012.15</v>
      </c>
      <c r="K78" s="20">
        <f t="shared" si="1"/>
        <v>-2951376.5300000003</v>
      </c>
      <c r="L78" s="20"/>
      <c r="M78" s="20">
        <v>-2430757.89</v>
      </c>
      <c r="N78" s="20">
        <v>-351682.4</v>
      </c>
      <c r="O78" s="20">
        <v>-2954441.13</v>
      </c>
      <c r="P78" s="20"/>
      <c r="Q78" s="20">
        <v>-2430799.54</v>
      </c>
      <c r="R78" s="20">
        <v>-350341.9</v>
      </c>
      <c r="S78" s="20">
        <v>-2948311.93</v>
      </c>
      <c r="T78" s="2"/>
      <c r="U78" s="2"/>
      <c r="V78" s="2"/>
      <c r="W78" s="2"/>
      <c r="X78" s="2"/>
      <c r="Y78" s="2"/>
    </row>
    <row r="79" spans="1:25" ht="15">
      <c r="A79" s="40">
        <f t="shared" si="0"/>
        <v>63</v>
      </c>
      <c r="B79" s="25" t="s">
        <v>207</v>
      </c>
      <c r="C79" s="20">
        <f t="shared" si="2"/>
        <v>3678825.16</v>
      </c>
      <c r="D79" s="20">
        <f>SUM(Q79:S79)</f>
        <v>3910033.41</v>
      </c>
      <c r="E79" s="20"/>
      <c r="F79" s="20"/>
      <c r="G79" s="20">
        <f>ROUND(SUM(C79:F79)/2,0)</f>
        <v>3794429</v>
      </c>
      <c r="H79" s="20"/>
      <c r="I79" s="20">
        <f t="shared" si="1"/>
        <v>3794429.285</v>
      </c>
      <c r="J79" s="20">
        <f t="shared" si="1"/>
        <v>0</v>
      </c>
      <c r="K79" s="20">
        <f t="shared" si="1"/>
        <v>0</v>
      </c>
      <c r="L79" s="20"/>
      <c r="M79" s="20">
        <v>3678825.16</v>
      </c>
      <c r="N79" s="20">
        <v>0</v>
      </c>
      <c r="O79" s="20">
        <v>0</v>
      </c>
      <c r="P79" s="20"/>
      <c r="Q79" s="20">
        <v>3910033.41</v>
      </c>
      <c r="R79" s="20">
        <v>0</v>
      </c>
      <c r="S79" s="20">
        <v>0</v>
      </c>
      <c r="T79" s="2"/>
      <c r="U79" s="2"/>
      <c r="V79" s="2"/>
      <c r="W79" s="2"/>
      <c r="X79" s="2"/>
      <c r="Y79" s="2"/>
    </row>
    <row r="80" spans="1:25" ht="15">
      <c r="A80" s="40">
        <f t="shared" si="0"/>
        <v>64</v>
      </c>
      <c r="B80" s="41" t="s">
        <v>673</v>
      </c>
      <c r="C80" s="20">
        <f t="shared" si="2"/>
        <v>0</v>
      </c>
      <c r="D80" s="20">
        <f>SUM(Q80:S80)</f>
        <v>121212.84</v>
      </c>
      <c r="E80" s="20"/>
      <c r="F80" s="20"/>
      <c r="G80" s="20">
        <f>ROUND(SUM(C80:F80)/2,0)</f>
        <v>60606</v>
      </c>
      <c r="H80" s="20"/>
      <c r="I80" s="20">
        <f>(+M80+Q80)/2</f>
        <v>60606.42</v>
      </c>
      <c r="J80" s="20">
        <f>(+N80+R80)/2</f>
        <v>0</v>
      </c>
      <c r="K80" s="20">
        <f>(+O80+S80)/2</f>
        <v>0</v>
      </c>
      <c r="L80" s="20"/>
      <c r="M80" s="20">
        <v>0</v>
      </c>
      <c r="N80" s="20">
        <v>0</v>
      </c>
      <c r="O80" s="20">
        <v>0</v>
      </c>
      <c r="P80" s="20"/>
      <c r="Q80" s="20">
        <v>121212.84</v>
      </c>
      <c r="R80" s="20">
        <v>0</v>
      </c>
      <c r="S80" s="20">
        <v>0</v>
      </c>
      <c r="T80" s="2"/>
      <c r="U80" s="2"/>
      <c r="V80" s="2"/>
      <c r="W80" s="2"/>
      <c r="X80" s="2"/>
      <c r="Y80" s="2"/>
    </row>
    <row r="81" spans="1:25" ht="15">
      <c r="A81" s="40">
        <f t="shared" si="0"/>
        <v>65</v>
      </c>
      <c r="B81" s="25" t="s">
        <v>208</v>
      </c>
      <c r="C81" s="20">
        <f t="shared" si="2"/>
        <v>76645567.55000001</v>
      </c>
      <c r="D81" s="20">
        <f t="shared" si="3"/>
        <v>85026956.65</v>
      </c>
      <c r="E81" s="20"/>
      <c r="F81" s="20"/>
      <c r="G81" s="20">
        <f t="shared" si="4"/>
        <v>80836262</v>
      </c>
      <c r="H81" s="20"/>
      <c r="I81" s="20">
        <f t="shared" si="1"/>
        <v>10715239.225000001</v>
      </c>
      <c r="J81" s="20">
        <f t="shared" si="1"/>
        <v>25718517.4</v>
      </c>
      <c r="K81" s="20">
        <f t="shared" si="1"/>
        <v>44402505.474999994</v>
      </c>
      <c r="L81" s="20"/>
      <c r="M81" s="20">
        <v>9568843.8</v>
      </c>
      <c r="N81" s="20">
        <v>24575958.85</v>
      </c>
      <c r="O81" s="20">
        <v>42500764.9</v>
      </c>
      <c r="P81" s="20"/>
      <c r="Q81" s="20">
        <v>11861634.65</v>
      </c>
      <c r="R81" s="20">
        <v>26861075.95</v>
      </c>
      <c r="S81" s="20">
        <v>46304246.05</v>
      </c>
      <c r="T81" s="2"/>
      <c r="U81" s="2"/>
      <c r="V81" s="2"/>
      <c r="W81" s="2"/>
      <c r="X81" s="2"/>
      <c r="Y81" s="2"/>
    </row>
    <row r="82" spans="1:25" ht="15">
      <c r="A82" s="40">
        <f aca="true" t="shared" si="5" ref="A82:A106">A81+1</f>
        <v>66</v>
      </c>
      <c r="B82" s="25" t="s">
        <v>209</v>
      </c>
      <c r="C82" s="20">
        <f t="shared" si="2"/>
        <v>-59077.9</v>
      </c>
      <c r="D82" s="20">
        <f t="shared" si="3"/>
        <v>-52887.799999999996</v>
      </c>
      <c r="E82" s="20"/>
      <c r="F82" s="20"/>
      <c r="G82" s="20">
        <f t="shared" si="4"/>
        <v>-55983</v>
      </c>
      <c r="H82" s="20"/>
      <c r="I82" s="20">
        <f t="shared" si="1"/>
        <v>-27609.925</v>
      </c>
      <c r="J82" s="20">
        <f t="shared" si="1"/>
        <v>-9138.675</v>
      </c>
      <c r="K82" s="20">
        <f t="shared" si="1"/>
        <v>-19234.25</v>
      </c>
      <c r="L82" s="20"/>
      <c r="M82" s="20">
        <v>-46601.45</v>
      </c>
      <c r="N82" s="20">
        <v>-4323.55</v>
      </c>
      <c r="O82" s="20">
        <v>-8152.9</v>
      </c>
      <c r="P82" s="20"/>
      <c r="Q82" s="20">
        <v>-8618.4</v>
      </c>
      <c r="R82" s="20">
        <v>-13953.8</v>
      </c>
      <c r="S82" s="20">
        <v>-30315.6</v>
      </c>
      <c r="T82" s="2"/>
      <c r="U82" s="2"/>
      <c r="V82" s="2"/>
      <c r="W82" s="2"/>
      <c r="X82" s="2"/>
      <c r="Y82" s="2"/>
    </row>
    <row r="83" spans="1:25" ht="15">
      <c r="A83" s="40">
        <f t="shared" si="5"/>
        <v>67</v>
      </c>
      <c r="B83" s="25" t="s">
        <v>135</v>
      </c>
      <c r="C83" s="20">
        <f aca="true" t="shared" si="6" ref="C83:C95">SUM(M83:O83)</f>
        <v>27875706.6</v>
      </c>
      <c r="D83" s="20">
        <f>SUM(Q83:S83)</f>
        <v>27975765.200000003</v>
      </c>
      <c r="E83" s="20"/>
      <c r="F83" s="20"/>
      <c r="G83" s="20">
        <f>ROUND(SUM(C83:F83)/2,0)</f>
        <v>27925736</v>
      </c>
      <c r="H83" s="20"/>
      <c r="I83" s="20">
        <f t="shared" si="1"/>
        <v>20209490.3</v>
      </c>
      <c r="J83" s="20">
        <f t="shared" si="1"/>
        <v>3264450</v>
      </c>
      <c r="K83" s="20">
        <f t="shared" si="1"/>
        <v>4451795.6</v>
      </c>
      <c r="L83" s="20"/>
      <c r="M83" s="20">
        <f>7879207+6775897.8-9166862.25+13868807.05+802411.4</f>
        <v>20159461</v>
      </c>
      <c r="N83" s="20">
        <f>-2033308.55+5297758.55</f>
        <v>3264450</v>
      </c>
      <c r="O83" s="20">
        <f>-13738486.65+13738486.65-3573456.25+8025251.85</f>
        <v>4451795.6</v>
      </c>
      <c r="P83" s="20"/>
      <c r="Q83" s="20">
        <f>5652946.95-146112.05+5346946.5-10475840.9+15177785.7+802411.4+2023680+1877702</f>
        <v>20259519.6</v>
      </c>
      <c r="R83" s="20">
        <f>-2916520.25+6180970.25</f>
        <v>3264450</v>
      </c>
      <c r="S83" s="20">
        <f>-16878887.2+16878887.2-4224506.3+8676301.9</f>
        <v>4451795.600000001</v>
      </c>
      <c r="T83" s="2"/>
      <c r="U83" s="2"/>
      <c r="V83" s="2"/>
      <c r="W83" s="2"/>
      <c r="X83" s="2"/>
      <c r="Y83" s="2"/>
    </row>
    <row r="84" spans="1:25" ht="15">
      <c r="A84" s="40">
        <f t="shared" si="5"/>
        <v>68</v>
      </c>
      <c r="B84" s="25" t="s">
        <v>210</v>
      </c>
      <c r="C84" s="20">
        <f t="shared" si="6"/>
        <v>-783321</v>
      </c>
      <c r="D84" s="20">
        <f>SUM(Q84:S84)</f>
        <v>-783321</v>
      </c>
      <c r="E84" s="20"/>
      <c r="F84" s="20"/>
      <c r="G84" s="20">
        <f>ROUND(SUM(C84:F84)/2,0)</f>
        <v>-783321</v>
      </c>
      <c r="H84" s="20"/>
      <c r="I84" s="20">
        <f t="shared" si="1"/>
        <v>-593235.65</v>
      </c>
      <c r="J84" s="20">
        <f t="shared" si="1"/>
        <v>0</v>
      </c>
      <c r="K84" s="20">
        <f t="shared" si="1"/>
        <v>-190085.34999999998</v>
      </c>
      <c r="L84" s="20"/>
      <c r="M84" s="20">
        <f>-962030.65+368795</f>
        <v>-593235.65</v>
      </c>
      <c r="N84" s="20">
        <v>0</v>
      </c>
      <c r="O84" s="20">
        <f>-315488.35+125403</f>
        <v>-190085.34999999998</v>
      </c>
      <c r="P84" s="20"/>
      <c r="Q84" s="20">
        <f>-962030.65+368795</f>
        <v>-593235.65</v>
      </c>
      <c r="R84" s="20">
        <v>0</v>
      </c>
      <c r="S84" s="20">
        <f>-315488.35+125403</f>
        <v>-190085.34999999998</v>
      </c>
      <c r="T84" s="2"/>
      <c r="U84" s="2"/>
      <c r="V84" s="2"/>
      <c r="W84" s="2"/>
      <c r="X84" s="2"/>
      <c r="Y84" s="2"/>
    </row>
    <row r="85" spans="1:25" ht="15">
      <c r="A85" s="40">
        <f t="shared" si="5"/>
        <v>69</v>
      </c>
      <c r="B85" s="25" t="s">
        <v>211</v>
      </c>
      <c r="C85" s="20">
        <f t="shared" si="6"/>
        <v>190085</v>
      </c>
      <c r="D85" s="20">
        <f>SUM(Q85:S85)</f>
        <v>190085</v>
      </c>
      <c r="E85" s="20"/>
      <c r="F85" s="20"/>
      <c r="G85" s="20">
        <f>ROUND(SUM(C85:F85)/2,0)</f>
        <v>190085</v>
      </c>
      <c r="H85" s="20"/>
      <c r="I85" s="20">
        <f t="shared" si="1"/>
        <v>0</v>
      </c>
      <c r="J85" s="20">
        <f t="shared" si="1"/>
        <v>0</v>
      </c>
      <c r="K85" s="20">
        <f t="shared" si="1"/>
        <v>190085</v>
      </c>
      <c r="L85" s="20"/>
      <c r="M85" s="20">
        <v>0</v>
      </c>
      <c r="N85" s="20">
        <v>0</v>
      </c>
      <c r="O85" s="20">
        <f>149485+40600</f>
        <v>190085</v>
      </c>
      <c r="P85" s="20"/>
      <c r="Q85" s="20">
        <f>-40600+40600</f>
        <v>0</v>
      </c>
      <c r="R85" s="20">
        <v>0</v>
      </c>
      <c r="S85" s="20">
        <f>149485+40600</f>
        <v>190085</v>
      </c>
      <c r="T85" s="2"/>
      <c r="U85" s="2"/>
      <c r="V85" s="2"/>
      <c r="W85" s="2"/>
      <c r="X85" s="2"/>
      <c r="Y85" s="2"/>
    </row>
    <row r="86" spans="1:25" ht="15">
      <c r="A86" s="40">
        <f t="shared" si="5"/>
        <v>70</v>
      </c>
      <c r="B86" s="25" t="s">
        <v>212</v>
      </c>
      <c r="C86" s="20">
        <f t="shared" si="6"/>
        <v>-799264.95</v>
      </c>
      <c r="D86" s="20">
        <f>SUM(Q86:S86)</f>
        <v>-807602.6500000001</v>
      </c>
      <c r="E86" s="20"/>
      <c r="F86" s="20"/>
      <c r="G86" s="20">
        <f>ROUND(SUM(C86:F86)/2,0)</f>
        <v>-803434</v>
      </c>
      <c r="H86" s="20"/>
      <c r="I86" s="20">
        <f aca="true" t="shared" si="7" ref="I86:K95">(+M86+Q86)/2</f>
        <v>-805780.9750000001</v>
      </c>
      <c r="J86" s="20">
        <f t="shared" si="7"/>
        <v>5136.975000000006</v>
      </c>
      <c r="K86" s="20">
        <f t="shared" si="7"/>
        <v>-2789.8000000000466</v>
      </c>
      <c r="L86" s="20"/>
      <c r="M86" s="20">
        <v>-807500.7</v>
      </c>
      <c r="N86" s="20">
        <f>-457812.95+468156</f>
        <v>10343.049999999988</v>
      </c>
      <c r="O86" s="20">
        <f>-768683.3+766576</f>
        <v>-2107.3000000000466</v>
      </c>
      <c r="P86" s="20"/>
      <c r="Q86" s="20">
        <f>-1173091.85+369030.6</f>
        <v>-804061.2500000001</v>
      </c>
      <c r="R86" s="20">
        <f>-468225.1+468156</f>
        <v>-69.09999999997672</v>
      </c>
      <c r="S86" s="20">
        <f>-770048.3+766576</f>
        <v>-3472.3000000000466</v>
      </c>
      <c r="T86" s="2"/>
      <c r="U86" s="2"/>
      <c r="V86" s="2"/>
      <c r="W86" s="2"/>
      <c r="X86" s="2"/>
      <c r="Y86" s="2"/>
    </row>
    <row r="87" spans="1:25" ht="15">
      <c r="A87" s="40">
        <f t="shared" si="5"/>
        <v>71</v>
      </c>
      <c r="B87" s="25" t="s">
        <v>213</v>
      </c>
      <c r="C87" s="20">
        <f t="shared" si="6"/>
        <v>67640.65</v>
      </c>
      <c r="D87" s="20">
        <f>SUM(Q87:S87)</f>
        <v>23797.200000000004</v>
      </c>
      <c r="E87" s="20"/>
      <c r="F87" s="20"/>
      <c r="G87" s="20">
        <f>ROUND(SUM(C87:F87)/2,0)</f>
        <v>45719</v>
      </c>
      <c r="H87" s="20"/>
      <c r="I87" s="20">
        <f t="shared" si="7"/>
        <v>-5369.3499999999985</v>
      </c>
      <c r="J87" s="20">
        <f t="shared" si="7"/>
        <v>6091.05</v>
      </c>
      <c r="K87" s="20">
        <f t="shared" si="7"/>
        <v>44997.225000000006</v>
      </c>
      <c r="L87" s="20"/>
      <c r="M87" s="20">
        <v>21503.65</v>
      </c>
      <c r="N87" s="20">
        <v>903.35</v>
      </c>
      <c r="O87" s="20">
        <v>45233.65</v>
      </c>
      <c r="P87" s="20"/>
      <c r="Q87" s="20">
        <v>-32242.35</v>
      </c>
      <c r="R87" s="20">
        <v>11278.75</v>
      </c>
      <c r="S87" s="20">
        <v>44760.8</v>
      </c>
      <c r="T87" s="2"/>
      <c r="U87" s="2"/>
      <c r="V87" s="2"/>
      <c r="W87" s="2"/>
      <c r="X87" s="2"/>
      <c r="Y87" s="2"/>
    </row>
    <row r="88" spans="1:25" ht="15">
      <c r="A88" s="40">
        <f t="shared" si="5"/>
        <v>72</v>
      </c>
      <c r="B88" s="25" t="s">
        <v>214</v>
      </c>
      <c r="C88" s="20">
        <f t="shared" si="6"/>
        <v>0</v>
      </c>
      <c r="D88" s="20">
        <f>SUM(Q88:S88)</f>
        <v>0</v>
      </c>
      <c r="E88" s="20"/>
      <c r="F88" s="20"/>
      <c r="G88" s="20">
        <f aca="true" t="shared" si="8" ref="G88:G109">ROUND(SUM(C88:F88)/2,0)</f>
        <v>0</v>
      </c>
      <c r="H88" s="20"/>
      <c r="I88" s="20">
        <f t="shared" si="7"/>
        <v>0</v>
      </c>
      <c r="J88" s="20">
        <f t="shared" si="7"/>
        <v>0</v>
      </c>
      <c r="K88" s="20">
        <f t="shared" si="7"/>
        <v>0</v>
      </c>
      <c r="L88" s="20"/>
      <c r="M88" s="20">
        <v>0</v>
      </c>
      <c r="N88" s="20">
        <v>0</v>
      </c>
      <c r="O88" s="20">
        <v>0</v>
      </c>
      <c r="P88" s="20"/>
      <c r="Q88" s="20">
        <v>0</v>
      </c>
      <c r="R88" s="20">
        <v>0</v>
      </c>
      <c r="S88" s="20">
        <v>0</v>
      </c>
      <c r="T88" s="2"/>
      <c r="U88" s="2"/>
      <c r="V88" s="2"/>
      <c r="W88" s="2"/>
      <c r="X88" s="2"/>
      <c r="Y88" s="2"/>
    </row>
    <row r="89" spans="1:25" ht="15">
      <c r="A89" s="40">
        <f t="shared" si="5"/>
        <v>73</v>
      </c>
      <c r="B89" s="25" t="s">
        <v>215</v>
      </c>
      <c r="C89" s="20">
        <f t="shared" si="6"/>
        <v>0.1</v>
      </c>
      <c r="D89" s="20">
        <f>SUM(Q89:S89)</f>
        <v>0.1</v>
      </c>
      <c r="E89" s="20"/>
      <c r="F89" s="20"/>
      <c r="G89" s="20">
        <f t="shared" si="8"/>
        <v>0</v>
      </c>
      <c r="H89" s="20"/>
      <c r="I89" s="20">
        <f t="shared" si="7"/>
        <v>0</v>
      </c>
      <c r="J89" s="20">
        <f t="shared" si="7"/>
        <v>0</v>
      </c>
      <c r="K89" s="20">
        <f t="shared" si="7"/>
        <v>0.1</v>
      </c>
      <c r="L89" s="20"/>
      <c r="M89" s="20">
        <v>0</v>
      </c>
      <c r="N89" s="20">
        <v>0</v>
      </c>
      <c r="O89" s="20">
        <v>0.1</v>
      </c>
      <c r="P89" s="20"/>
      <c r="Q89" s="20">
        <v>0</v>
      </c>
      <c r="R89" s="20">
        <v>0</v>
      </c>
      <c r="S89" s="20">
        <v>0.1</v>
      </c>
      <c r="T89" s="2"/>
      <c r="U89" s="2"/>
      <c r="V89" s="2"/>
      <c r="W89" s="2"/>
      <c r="X89" s="2"/>
      <c r="Y89" s="2"/>
    </row>
    <row r="90" spans="1:25" ht="15">
      <c r="A90" s="40">
        <f t="shared" si="5"/>
        <v>74</v>
      </c>
      <c r="B90" s="25" t="s">
        <v>216</v>
      </c>
      <c r="C90" s="20">
        <f t="shared" si="6"/>
        <v>89807.5</v>
      </c>
      <c r="D90" s="20">
        <f>SUM(Q90:S90)</f>
        <v>89807.5</v>
      </c>
      <c r="E90" s="20"/>
      <c r="F90" s="20"/>
      <c r="G90" s="20">
        <f t="shared" si="8"/>
        <v>89808</v>
      </c>
      <c r="H90" s="20"/>
      <c r="I90" s="20">
        <f t="shared" si="7"/>
        <v>0</v>
      </c>
      <c r="J90" s="20">
        <f t="shared" si="7"/>
        <v>0</v>
      </c>
      <c r="K90" s="20">
        <f t="shared" si="7"/>
        <v>89807.5</v>
      </c>
      <c r="L90" s="20"/>
      <c r="M90" s="20">
        <v>0</v>
      </c>
      <c r="N90" s="20">
        <v>0</v>
      </c>
      <c r="O90" s="20">
        <v>89807.5</v>
      </c>
      <c r="P90" s="20"/>
      <c r="Q90" s="20">
        <v>0</v>
      </c>
      <c r="R90" s="20">
        <v>0</v>
      </c>
      <c r="S90" s="20">
        <v>89807.5</v>
      </c>
      <c r="T90" s="2"/>
      <c r="U90" s="2"/>
      <c r="V90" s="2"/>
      <c r="W90" s="2"/>
      <c r="X90" s="2"/>
      <c r="Y90" s="2"/>
    </row>
    <row r="91" spans="1:25" ht="15">
      <c r="A91" s="40">
        <f t="shared" si="5"/>
        <v>75</v>
      </c>
      <c r="B91" s="25" t="s">
        <v>217</v>
      </c>
      <c r="C91" s="20">
        <f t="shared" si="6"/>
        <v>1483711.8</v>
      </c>
      <c r="D91" s="20">
        <f>SUM(Q91:S91)</f>
        <v>1409947.2</v>
      </c>
      <c r="E91" s="20"/>
      <c r="F91" s="20"/>
      <c r="G91" s="20">
        <f t="shared" si="8"/>
        <v>1446830</v>
      </c>
      <c r="H91" s="20"/>
      <c r="I91" s="20">
        <f t="shared" si="7"/>
        <v>0</v>
      </c>
      <c r="J91" s="20">
        <f t="shared" si="7"/>
        <v>0</v>
      </c>
      <c r="K91" s="20">
        <f t="shared" si="7"/>
        <v>1446829.5</v>
      </c>
      <c r="L91" s="20"/>
      <c r="M91" s="20">
        <v>0</v>
      </c>
      <c r="N91" s="20">
        <v>0</v>
      </c>
      <c r="O91" s="20">
        <v>1483711.8</v>
      </c>
      <c r="P91" s="20"/>
      <c r="Q91" s="20">
        <v>0</v>
      </c>
      <c r="R91" s="20">
        <v>0</v>
      </c>
      <c r="S91" s="20">
        <v>1409947.2</v>
      </c>
      <c r="T91" s="2"/>
      <c r="U91" s="2"/>
      <c r="V91" s="2"/>
      <c r="W91" s="2"/>
      <c r="X91" s="2"/>
      <c r="Y91" s="2"/>
    </row>
    <row r="92" spans="1:25" ht="15">
      <c r="A92" s="40">
        <f t="shared" si="5"/>
        <v>76</v>
      </c>
      <c r="B92" s="25" t="s">
        <v>218</v>
      </c>
      <c r="C92" s="20">
        <f t="shared" si="6"/>
        <v>0</v>
      </c>
      <c r="D92" s="20">
        <f>SUM(Q92:S92)</f>
        <v>0</v>
      </c>
      <c r="E92" s="20"/>
      <c r="F92" s="20"/>
      <c r="G92" s="20">
        <f t="shared" si="8"/>
        <v>0</v>
      </c>
      <c r="H92" s="20"/>
      <c r="I92" s="20">
        <f t="shared" si="7"/>
        <v>0</v>
      </c>
      <c r="J92" s="20">
        <f t="shared" si="7"/>
        <v>0</v>
      </c>
      <c r="K92" s="20">
        <f t="shared" si="7"/>
        <v>0</v>
      </c>
      <c r="L92" s="20"/>
      <c r="M92" s="20">
        <v>0</v>
      </c>
      <c r="N92" s="20">
        <v>0</v>
      </c>
      <c r="O92" s="20">
        <v>0</v>
      </c>
      <c r="P92" s="20"/>
      <c r="Q92" s="20">
        <v>0</v>
      </c>
      <c r="R92" s="20">
        <v>0</v>
      </c>
      <c r="S92" s="20">
        <v>0</v>
      </c>
      <c r="T92" s="2"/>
      <c r="U92" s="2"/>
      <c r="V92" s="2"/>
      <c r="W92" s="2"/>
      <c r="X92" s="2"/>
      <c r="Y92" s="2"/>
    </row>
    <row r="93" spans="1:25" ht="15">
      <c r="A93" s="40">
        <f t="shared" si="5"/>
        <v>77</v>
      </c>
      <c r="B93" s="25" t="s">
        <v>219</v>
      </c>
      <c r="C93" s="20">
        <f t="shared" si="6"/>
        <v>2516141.33</v>
      </c>
      <c r="D93" s="20">
        <f>SUM(Q93:S93)</f>
        <v>2740379.6799999997</v>
      </c>
      <c r="E93" s="20"/>
      <c r="F93" s="20"/>
      <c r="G93" s="20">
        <f t="shared" si="8"/>
        <v>2628261</v>
      </c>
      <c r="H93" s="20"/>
      <c r="I93" s="20">
        <f t="shared" si="7"/>
        <v>2236431.1399999997</v>
      </c>
      <c r="J93" s="20">
        <f t="shared" si="7"/>
        <v>272249.95</v>
      </c>
      <c r="K93" s="20">
        <f t="shared" si="7"/>
        <v>119579.415</v>
      </c>
      <c r="L93" s="20"/>
      <c r="M93" s="20">
        <v>2486260.09</v>
      </c>
      <c r="N93" s="20">
        <v>0</v>
      </c>
      <c r="O93" s="20">
        <v>29881.24</v>
      </c>
      <c r="P93" s="20"/>
      <c r="Q93" s="20">
        <v>1986602.19</v>
      </c>
      <c r="R93" s="20">
        <v>544499.9</v>
      </c>
      <c r="S93" s="20">
        <v>209277.59</v>
      </c>
      <c r="T93" s="2"/>
      <c r="U93" s="2"/>
      <c r="V93" s="2"/>
      <c r="W93" s="2"/>
      <c r="X93" s="2"/>
      <c r="Y93" s="2"/>
    </row>
    <row r="94" spans="1:25" ht="15">
      <c r="A94" s="40">
        <f t="shared" si="5"/>
        <v>78</v>
      </c>
      <c r="B94" s="25" t="s">
        <v>220</v>
      </c>
      <c r="C94" s="20">
        <f t="shared" si="6"/>
        <v>2482486</v>
      </c>
      <c r="D94" s="20">
        <f>SUM(Q94:S94)</f>
        <v>2666619</v>
      </c>
      <c r="E94" s="20"/>
      <c r="F94" s="20"/>
      <c r="G94" s="20">
        <f t="shared" si="8"/>
        <v>2574553</v>
      </c>
      <c r="H94" s="20"/>
      <c r="I94" s="20">
        <f>(+M94+Q94)/2</f>
        <v>2464771</v>
      </c>
      <c r="J94" s="20">
        <f>(+N94+R94)/2</f>
        <v>84764</v>
      </c>
      <c r="K94" s="20">
        <f>(+O94+S94)/2</f>
        <v>25017.5</v>
      </c>
      <c r="L94" s="20"/>
      <c r="M94" s="20">
        <v>2376630</v>
      </c>
      <c r="N94" s="20">
        <v>81733</v>
      </c>
      <c r="O94" s="20">
        <v>24123</v>
      </c>
      <c r="P94" s="20"/>
      <c r="Q94" s="20">
        <v>2552912</v>
      </c>
      <c r="R94" s="20">
        <v>87795</v>
      </c>
      <c r="S94" s="20">
        <v>25912</v>
      </c>
      <c r="T94" s="2"/>
      <c r="U94" s="2"/>
      <c r="V94" s="2"/>
      <c r="W94" s="2"/>
      <c r="X94" s="2"/>
      <c r="Y94" s="2"/>
    </row>
    <row r="95" spans="1:25" ht="15">
      <c r="A95" s="40">
        <f t="shared" si="5"/>
        <v>79</v>
      </c>
      <c r="B95" s="41" t="s">
        <v>674</v>
      </c>
      <c r="C95" s="20">
        <f t="shared" si="6"/>
        <v>0</v>
      </c>
      <c r="D95" s="20">
        <f>SUM(Q95:S95)</f>
        <v>4450347.8</v>
      </c>
      <c r="E95" s="20"/>
      <c r="F95" s="20"/>
      <c r="G95" s="20">
        <f t="shared" si="8"/>
        <v>2225174</v>
      </c>
      <c r="H95" s="20"/>
      <c r="I95" s="20">
        <f t="shared" si="7"/>
        <v>0</v>
      </c>
      <c r="J95" s="20">
        <f t="shared" si="7"/>
        <v>0</v>
      </c>
      <c r="K95" s="20">
        <f t="shared" si="7"/>
        <v>2225173.9</v>
      </c>
      <c r="L95" s="20"/>
      <c r="M95" s="20">
        <v>0</v>
      </c>
      <c r="N95" s="20">
        <v>0</v>
      </c>
      <c r="O95" s="20">
        <v>0</v>
      </c>
      <c r="P95" s="20"/>
      <c r="Q95" s="20">
        <v>0</v>
      </c>
      <c r="R95" s="20">
        <v>0</v>
      </c>
      <c r="S95" s="20">
        <v>4450347.8</v>
      </c>
      <c r="T95" s="2"/>
      <c r="U95" s="2"/>
      <c r="V95" s="2"/>
      <c r="W95" s="2"/>
      <c r="X95" s="2"/>
      <c r="Y95" s="2"/>
    </row>
    <row r="96" spans="1:25" ht="15">
      <c r="A96" s="40">
        <f t="shared" si="5"/>
        <v>80</v>
      </c>
      <c r="B96" s="20"/>
      <c r="C96" s="20"/>
      <c r="D96" s="20"/>
      <c r="E96" s="20"/>
      <c r="F96" s="20"/>
      <c r="G96" s="20">
        <f t="shared" si="8"/>
        <v>0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"/>
      <c r="U96" s="2"/>
      <c r="V96" s="2"/>
      <c r="W96" s="2"/>
      <c r="X96" s="2"/>
      <c r="Y96" s="2"/>
    </row>
    <row r="97" spans="1:25" ht="15">
      <c r="A97" s="40">
        <f t="shared" si="5"/>
        <v>81</v>
      </c>
      <c r="B97" s="41" t="s">
        <v>34</v>
      </c>
      <c r="C97" s="20">
        <v>10078781.04</v>
      </c>
      <c r="D97" s="20">
        <f>10194478.8+60838</f>
        <v>10255316.8</v>
      </c>
      <c r="E97" s="20">
        <f aca="true" t="shared" si="9" ref="E97:F103">-C97</f>
        <v>-10078781.04</v>
      </c>
      <c r="F97" s="20">
        <f t="shared" si="9"/>
        <v>-10255316.8</v>
      </c>
      <c r="G97" s="20">
        <f t="shared" si="8"/>
        <v>0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"/>
      <c r="U97" s="2"/>
      <c r="V97" s="2"/>
      <c r="W97" s="2"/>
      <c r="X97" s="2"/>
      <c r="Y97" s="2"/>
    </row>
    <row r="98" spans="1:25" ht="15">
      <c r="A98" s="40">
        <f t="shared" si="5"/>
        <v>82</v>
      </c>
      <c r="B98" s="20" t="s">
        <v>221</v>
      </c>
      <c r="C98" s="20">
        <v>84248268.14</v>
      </c>
      <c r="D98" s="20">
        <v>95773464.96</v>
      </c>
      <c r="E98" s="20">
        <f t="shared" si="9"/>
        <v>-84248268.14</v>
      </c>
      <c r="F98" s="20">
        <f t="shared" si="9"/>
        <v>-95773464.96</v>
      </c>
      <c r="G98" s="20">
        <f t="shared" si="8"/>
        <v>0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"/>
      <c r="U98" s="2"/>
      <c r="V98" s="2"/>
      <c r="W98" s="2"/>
      <c r="X98" s="2"/>
      <c r="Y98" s="2"/>
    </row>
    <row r="99" spans="1:25" ht="15">
      <c r="A99" s="40">
        <f t="shared" si="5"/>
        <v>83</v>
      </c>
      <c r="B99" s="20" t="s">
        <v>222</v>
      </c>
      <c r="C99" s="20">
        <v>1139771.78</v>
      </c>
      <c r="D99" s="20">
        <v>1074111.76</v>
      </c>
      <c r="E99" s="20">
        <f t="shared" si="9"/>
        <v>-1139771.78</v>
      </c>
      <c r="F99" s="20">
        <f t="shared" si="9"/>
        <v>-1074111.76</v>
      </c>
      <c r="G99" s="20">
        <f t="shared" si="8"/>
        <v>0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"/>
      <c r="U99" s="2"/>
      <c r="V99" s="2"/>
      <c r="W99" s="2"/>
      <c r="X99" s="2"/>
      <c r="Y99" s="2"/>
    </row>
    <row r="100" spans="1:25" ht="15">
      <c r="A100" s="40">
        <f t="shared" si="5"/>
        <v>84</v>
      </c>
      <c r="B100" s="20" t="s">
        <v>223</v>
      </c>
      <c r="C100" s="20">
        <v>456778</v>
      </c>
      <c r="D100" s="20">
        <v>100330</v>
      </c>
      <c r="E100" s="20">
        <f t="shared" si="9"/>
        <v>-456778</v>
      </c>
      <c r="F100" s="20">
        <f t="shared" si="9"/>
        <v>-100330</v>
      </c>
      <c r="G100" s="20">
        <f t="shared" si="8"/>
        <v>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"/>
      <c r="U100" s="2"/>
      <c r="V100" s="2"/>
      <c r="W100" s="2"/>
      <c r="X100" s="2"/>
      <c r="Y100" s="2"/>
    </row>
    <row r="101" spans="1:25" ht="15">
      <c r="A101" s="40">
        <f t="shared" si="5"/>
        <v>85</v>
      </c>
      <c r="B101" s="25" t="s">
        <v>224</v>
      </c>
      <c r="C101" s="20">
        <v>4804576</v>
      </c>
      <c r="D101" s="20">
        <v>-9279591.43</v>
      </c>
      <c r="E101" s="20">
        <f t="shared" si="9"/>
        <v>-4804576</v>
      </c>
      <c r="F101" s="20">
        <f t="shared" si="9"/>
        <v>9279591.43</v>
      </c>
      <c r="G101" s="20">
        <f t="shared" si="8"/>
        <v>0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"/>
      <c r="U101" s="2"/>
      <c r="V101" s="2"/>
      <c r="W101" s="2"/>
      <c r="X101" s="2"/>
      <c r="Y101" s="2"/>
    </row>
    <row r="102" spans="1:25" ht="15">
      <c r="A102" s="40">
        <f t="shared" si="5"/>
        <v>86</v>
      </c>
      <c r="B102" s="25" t="s">
        <v>225</v>
      </c>
      <c r="C102" s="20">
        <v>3925894</v>
      </c>
      <c r="D102" s="20">
        <v>2831948.03</v>
      </c>
      <c r="E102" s="20">
        <f t="shared" si="9"/>
        <v>-3925894</v>
      </c>
      <c r="F102" s="20">
        <f t="shared" si="9"/>
        <v>-2831948.03</v>
      </c>
      <c r="G102" s="20">
        <f t="shared" si="8"/>
        <v>0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"/>
      <c r="U102" s="2"/>
      <c r="V102" s="2"/>
      <c r="W102" s="2"/>
      <c r="X102" s="2"/>
      <c r="Y102" s="2"/>
    </row>
    <row r="103" spans="1:25" ht="15">
      <c r="A103" s="40">
        <f t="shared" si="5"/>
        <v>87</v>
      </c>
      <c r="B103" s="25" t="s">
        <v>226</v>
      </c>
      <c r="C103" s="20">
        <v>81152</v>
      </c>
      <c r="D103" s="20">
        <v>76880.88</v>
      </c>
      <c r="E103" s="20">
        <f t="shared" si="9"/>
        <v>-81152</v>
      </c>
      <c r="F103" s="20">
        <f t="shared" si="9"/>
        <v>-76880.88</v>
      </c>
      <c r="G103" s="20">
        <f>ROUND(SUM(C103:F103)/2,0)</f>
        <v>0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"/>
      <c r="U103" s="2"/>
      <c r="V103" s="2"/>
      <c r="W103" s="2"/>
      <c r="X103" s="2"/>
      <c r="Y103" s="2"/>
    </row>
    <row r="104" spans="1:25" ht="15">
      <c r="A104" s="40">
        <f t="shared" si="5"/>
        <v>88</v>
      </c>
      <c r="B104" s="25" t="s">
        <v>227</v>
      </c>
      <c r="C104" s="20">
        <f>SUM(M104:O104)</f>
        <v>72162310</v>
      </c>
      <c r="D104" s="20">
        <v>64239096</v>
      </c>
      <c r="E104" s="20"/>
      <c r="F104" s="20"/>
      <c r="G104" s="20">
        <f>ROUND(SUM(C104:F104)/2,0)</f>
        <v>68200703</v>
      </c>
      <c r="H104" s="20"/>
      <c r="I104" s="20">
        <f>(+M104+Q104)/2</f>
        <v>68200703</v>
      </c>
      <c r="J104" s="20">
        <f>(+N104+R104)/2</f>
        <v>0</v>
      </c>
      <c r="K104" s="20">
        <f>(+O104+S104)/2</f>
        <v>0</v>
      </c>
      <c r="L104" s="20"/>
      <c r="M104" s="20">
        <v>72162310</v>
      </c>
      <c r="N104" s="20">
        <v>0</v>
      </c>
      <c r="O104" s="20">
        <v>0</v>
      </c>
      <c r="P104" s="20"/>
      <c r="Q104" s="20">
        <v>64239096</v>
      </c>
      <c r="R104" s="20">
        <v>0</v>
      </c>
      <c r="S104" s="20">
        <v>0</v>
      </c>
      <c r="T104" s="2"/>
      <c r="U104" s="2"/>
      <c r="V104" s="2"/>
      <c r="W104" s="2"/>
      <c r="X104" s="2"/>
      <c r="Y104" s="2"/>
    </row>
    <row r="105" spans="1:25" ht="15">
      <c r="A105" s="40">
        <f t="shared" si="5"/>
        <v>89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"/>
      <c r="U105" s="2"/>
      <c r="V105" s="2"/>
      <c r="W105" s="2"/>
      <c r="X105" s="2"/>
      <c r="Y105" s="2"/>
    </row>
    <row r="106" spans="1:25" ht="15.75" thickBot="1">
      <c r="A106" s="40">
        <f t="shared" si="5"/>
        <v>90</v>
      </c>
      <c r="B106" s="25" t="s">
        <v>228</v>
      </c>
      <c r="C106" s="23">
        <f>SUM(C17:C105)</f>
        <v>504725691.01000005</v>
      </c>
      <c r="D106" s="23">
        <f>SUM(D17:D105)</f>
        <v>529752451.09</v>
      </c>
      <c r="E106" s="23">
        <f>SUM(E17:E105)</f>
        <v>-104735220.96000001</v>
      </c>
      <c r="F106" s="23">
        <f>SUM(F17:F105)</f>
        <v>-100832461</v>
      </c>
      <c r="G106" s="23">
        <f>SUM(G17:G105)</f>
        <v>414455235</v>
      </c>
      <c r="H106" s="23"/>
      <c r="I106" s="23">
        <f>SUM(I17:I105)</f>
        <v>273533027.28</v>
      </c>
      <c r="J106" s="23">
        <f>SUM(J17:J105)</f>
        <v>50116191.89500001</v>
      </c>
      <c r="K106" s="23">
        <f>SUM(K17:K105)</f>
        <v>90806010.89499998</v>
      </c>
      <c r="L106" s="23"/>
      <c r="M106" s="23">
        <f>SUM(M17:M105)</f>
        <v>256759290.83000004</v>
      </c>
      <c r="N106" s="23">
        <f>SUM(N17:N105)</f>
        <v>50250694.199999996</v>
      </c>
      <c r="O106" s="23">
        <f>SUM(O17:O105)</f>
        <v>92980485.02</v>
      </c>
      <c r="P106" s="20"/>
      <c r="Q106" s="23">
        <f>SUM(Q17:Q105)</f>
        <v>290306763.72999996</v>
      </c>
      <c r="R106" s="23">
        <f>SUM(R17:R105)</f>
        <v>49981689.59</v>
      </c>
      <c r="S106" s="23">
        <f>SUM(S17:S105)</f>
        <v>88631536.77000001</v>
      </c>
      <c r="T106" s="2"/>
      <c r="U106" s="2"/>
      <c r="V106" s="2"/>
      <c r="W106" s="2"/>
      <c r="X106" s="2"/>
      <c r="Y106" s="2"/>
    </row>
    <row r="107" spans="1:25" ht="15.75" thickTop="1">
      <c r="A107" s="39"/>
      <c r="B107" s="20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0"/>
      <c r="Q107" s="24"/>
      <c r="R107" s="24"/>
      <c r="S107" s="24"/>
      <c r="T107" s="2"/>
      <c r="U107" s="2"/>
      <c r="V107" s="2"/>
      <c r="W107" s="2"/>
      <c r="X107" s="2"/>
      <c r="Y107" s="2"/>
    </row>
    <row r="108" spans="1:25" ht="15">
      <c r="A108" s="39"/>
      <c r="B108" s="20"/>
      <c r="C108" s="20"/>
      <c r="D108" s="20" t="s">
        <v>77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"/>
      <c r="U108" s="2"/>
      <c r="V108" s="2"/>
      <c r="W108" s="2"/>
      <c r="X108" s="2"/>
      <c r="Y108" s="2"/>
    </row>
    <row r="109" spans="1:25" ht="15">
      <c r="A109" s="3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"/>
      <c r="U109" s="2"/>
      <c r="V109" s="2"/>
      <c r="W109" s="2"/>
      <c r="X109" s="2"/>
      <c r="Y109" s="2"/>
    </row>
    <row r="110" spans="2:2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2:25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2:25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2:25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2:25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2:25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2:25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2:25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2:25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2:25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2:25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2:25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2:25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2:25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2:25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2:25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2:25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2:25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2:25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2:25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2:25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2:25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2:25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2:25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2:25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2:25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2:25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2:25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2:25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2:25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2:25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2:25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2:25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2:25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2:25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2:25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2:25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2:25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2:25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2:25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2:25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2:25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2:25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2:25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2:25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2:25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25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2:25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2:25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25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2:25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2:25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2:25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2:25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2:25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2:25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2:25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2:25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2:25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2:25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2:25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2:25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2:25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2:25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2:25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2:25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2:25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2:25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2:25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2:25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2:25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2:25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2:25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2:25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2:25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2:25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2:25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2:25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2:25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2:25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2:25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2:25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2:25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2:25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2:25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2:25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2:25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2:25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2:25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2:25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2:25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2:25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2:25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2:25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2:25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2:25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2:25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2:25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2:25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2:25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2:25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2:25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2:25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2:25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2:25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2:25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2:25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2:25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2:25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2:25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2:25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2:25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2:25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2:25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2:25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2:25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2:25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2:25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2:25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2:25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2:25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2:25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2:25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2:25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2:25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2:25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2:25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2:25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2:25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2:25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2:25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2:25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2:25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2:25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2:25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2:25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2:25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2:25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2:25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2:25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2:25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2:25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2:25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2:25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2:25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2:25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2:25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2:25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2:25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2:25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2:25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2:25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2:25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2:25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2:25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2:25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2:25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2:25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2:25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2:25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2:25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2:25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2:25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2:25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2:25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2:25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2:25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2:25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2:25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2:25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2:25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2:25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2:25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25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2:25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2:25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2:25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2:25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2:25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2:25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2:25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2:25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2:25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2:25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2:25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2:25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2:25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2:25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2:25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2:25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2:25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2:25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2:25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2:25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2:25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2:25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2:25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2:25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2:25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2:25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2:25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2:25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2:25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2:25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2:25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2:25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2:25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2:25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2:25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2:25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2:25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2:25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2:25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2:25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2:25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2:25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2:25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2:25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2:25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2:25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2:25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2:25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2:25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2:25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2:25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2:25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2:25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2:25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2:25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2:25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2:25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2:25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2:25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2:25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2:25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2:25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2:25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2:25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2:25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2:25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2:25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2:25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2:25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2:25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2:25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2:25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2:25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2:25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2:25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2:25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2:25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2:25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2:25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2:25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2:25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2:25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2:25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2:25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2:25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2:25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2:25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2:25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2:25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2:25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2:25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2:25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2:25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2:25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2:25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2:25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2:25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2:25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2:25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2:25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2:25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2:25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2:25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2:25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2:25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2:25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2:25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2:25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2:25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2:25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2:25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2:25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2:25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2:25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2:25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2:25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2:25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2:25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2:25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2:25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2:25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2:25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2:25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2:25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2:25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2:25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2:25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2:25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</sheetData>
  <sheetProtection/>
  <printOptions/>
  <pageMargins left="0.75" right="0.25" top="0.5" bottom="0.5" header="0.25" footer="0"/>
  <pageSetup horizontalDpi="600" verticalDpi="600" orientation="portrait" scale="70" r:id="rId3"/>
  <headerFooter alignWithMargins="0">
    <oddHeader>&amp;RSTATEMENT AG-3
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9"/>
  <sheetViews>
    <sheetView showOutlineSymbols="0" zoomScale="70" zoomScaleNormal="70" zoomScalePageLayoutView="0" workbookViewId="0" topLeftCell="A1">
      <pane xSplit="2" ySplit="1" topLeftCell="N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35" sqref="B35"/>
    </sheetView>
  </sheetViews>
  <sheetFormatPr defaultColWidth="12.7109375" defaultRowHeight="15"/>
  <cols>
    <col min="1" max="1" width="4.7109375" style="3" customWidth="1"/>
    <col min="2" max="2" width="50.7109375" style="1" customWidth="1"/>
    <col min="3" max="4" width="14.7109375" style="1" customWidth="1"/>
    <col min="5" max="7" width="14.7109375" style="1" hidden="1" customWidth="1"/>
    <col min="8" max="8" width="2.7109375" style="1" hidden="1" customWidth="1"/>
    <col min="9" max="13" width="14.7109375" style="1" hidden="1" customWidth="1"/>
    <col min="14" max="14" width="2.7109375" style="1" customWidth="1"/>
    <col min="15" max="19" width="14.7109375" style="1" customWidth="1"/>
    <col min="20" max="20" width="2.7109375" style="1" customWidth="1"/>
    <col min="21" max="25" width="14.7109375" style="1" customWidth="1"/>
    <col min="26" max="16384" width="12.7109375" style="1" customWidth="1"/>
  </cols>
  <sheetData>
    <row r="1" spans="1:25" ht="15">
      <c r="A1" s="7"/>
      <c r="B1" s="8" t="s">
        <v>229</v>
      </c>
      <c r="C1" s="9"/>
      <c r="D1" s="9"/>
      <c r="E1" s="9"/>
      <c r="F1" s="9"/>
      <c r="G1" s="42"/>
      <c r="H1" s="10"/>
      <c r="I1" s="10"/>
      <c r="J1" s="10"/>
      <c r="K1" s="10"/>
      <c r="L1" s="10"/>
      <c r="M1" s="42"/>
      <c r="N1" s="10"/>
      <c r="O1" s="9"/>
      <c r="P1" s="9"/>
      <c r="Q1" s="9"/>
      <c r="R1" s="9"/>
      <c r="S1" s="42"/>
      <c r="T1" s="9"/>
      <c r="U1" s="9"/>
      <c r="V1" s="9"/>
      <c r="W1" s="9"/>
      <c r="X1" s="9"/>
      <c r="Y1" s="42"/>
    </row>
    <row r="2" spans="1:25" ht="15">
      <c r="A2" s="7"/>
      <c r="B2" s="8" t="s">
        <v>1</v>
      </c>
      <c r="C2" s="9"/>
      <c r="D2" s="9"/>
      <c r="E2" s="9"/>
      <c r="F2" s="9"/>
      <c r="G2" s="42"/>
      <c r="H2" s="10"/>
      <c r="I2" s="10"/>
      <c r="J2" s="10"/>
      <c r="K2" s="10"/>
      <c r="L2" s="10"/>
      <c r="M2" s="42"/>
      <c r="N2" s="10"/>
      <c r="O2" s="9"/>
      <c r="P2" s="9"/>
      <c r="Q2" s="9"/>
      <c r="R2" s="9"/>
      <c r="S2" s="42"/>
      <c r="T2" s="9"/>
      <c r="U2" s="9"/>
      <c r="V2" s="9"/>
      <c r="W2" s="9"/>
      <c r="X2" s="9"/>
      <c r="Y2" s="42"/>
    </row>
    <row r="3" spans="1:25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7"/>
      <c r="B4" s="9"/>
      <c r="C4" s="9"/>
      <c r="D4" s="9"/>
      <c r="E4" s="9"/>
      <c r="F4" s="9"/>
      <c r="G4" s="43"/>
      <c r="H4" s="11"/>
      <c r="I4" s="11"/>
      <c r="J4" s="11"/>
      <c r="K4" s="11"/>
      <c r="L4" s="11"/>
      <c r="M4" s="43" t="s">
        <v>2</v>
      </c>
      <c r="N4" s="11"/>
      <c r="O4" s="9"/>
      <c r="P4" s="9"/>
      <c r="Q4" s="9"/>
      <c r="R4" s="9"/>
      <c r="S4" s="43"/>
      <c r="T4" s="9"/>
      <c r="U4" s="9"/>
      <c r="V4" s="9"/>
      <c r="W4" s="9"/>
      <c r="X4" s="9"/>
      <c r="Y4" s="43"/>
    </row>
    <row r="5" spans="1:25" ht="15">
      <c r="A5" s="7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/>
      <c r="O8" s="13" t="s">
        <v>14</v>
      </c>
      <c r="P8" s="13" t="s">
        <v>15</v>
      </c>
      <c r="Q8" s="13" t="s">
        <v>16</v>
      </c>
      <c r="R8" s="13" t="s">
        <v>17</v>
      </c>
      <c r="S8" s="13" t="s">
        <v>230</v>
      </c>
      <c r="T8" s="9"/>
      <c r="U8" s="13" t="s">
        <v>231</v>
      </c>
      <c r="V8" s="13" t="s">
        <v>232</v>
      </c>
      <c r="W8" s="13" t="s">
        <v>233</v>
      </c>
      <c r="X8" s="13" t="s">
        <v>234</v>
      </c>
      <c r="Y8" s="13" t="s">
        <v>235</v>
      </c>
    </row>
    <row r="9" spans="1:25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4"/>
      <c r="M10" s="14"/>
      <c r="N10" s="16"/>
      <c r="O10" s="17" t="s">
        <v>22</v>
      </c>
      <c r="P10" s="14"/>
      <c r="Q10" s="14"/>
      <c r="R10" s="14"/>
      <c r="S10" s="14"/>
      <c r="T10" s="9"/>
      <c r="U10" s="17" t="s">
        <v>659</v>
      </c>
      <c r="V10" s="14"/>
      <c r="W10" s="14"/>
      <c r="X10" s="14"/>
      <c r="Y10" s="14"/>
    </row>
    <row r="11" spans="1:25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8"/>
      <c r="M11" s="18"/>
      <c r="N11" s="16"/>
      <c r="O11" s="18"/>
      <c r="P11" s="18"/>
      <c r="Q11" s="18"/>
      <c r="R11" s="18"/>
      <c r="S11" s="18"/>
      <c r="T11" s="9"/>
      <c r="U11" s="18"/>
      <c r="V11" s="18"/>
      <c r="W11" s="18"/>
      <c r="X11" s="18"/>
      <c r="Y11" s="18"/>
    </row>
    <row r="12" spans="1:25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9"/>
      <c r="M12" s="9"/>
      <c r="N12" s="1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7"/>
      <c r="B13" s="13" t="s">
        <v>26</v>
      </c>
      <c r="C13" s="13" t="s">
        <v>27</v>
      </c>
      <c r="D13" s="13" t="s">
        <v>660</v>
      </c>
      <c r="E13" s="13" t="str">
        <f>+C13</f>
        <v>OF 12-31-12</v>
      </c>
      <c r="F13" s="13" t="str">
        <f>+D13</f>
        <v>OF 12-31-13</v>
      </c>
      <c r="G13" s="13" t="s">
        <v>28</v>
      </c>
      <c r="H13" s="13"/>
      <c r="I13" s="13" t="s">
        <v>29</v>
      </c>
      <c r="J13" s="13" t="s">
        <v>236</v>
      </c>
      <c r="K13" s="13" t="s">
        <v>30</v>
      </c>
      <c r="L13" s="13" t="s">
        <v>31</v>
      </c>
      <c r="M13" s="13" t="s">
        <v>237</v>
      </c>
      <c r="N13" s="13"/>
      <c r="O13" s="13" t="s">
        <v>29</v>
      </c>
      <c r="P13" s="13" t="s">
        <v>236</v>
      </c>
      <c r="Q13" s="13" t="s">
        <v>30</v>
      </c>
      <c r="R13" s="13" t="s">
        <v>31</v>
      </c>
      <c r="S13" s="13" t="s">
        <v>237</v>
      </c>
      <c r="T13" s="9"/>
      <c r="U13" s="13" t="s">
        <v>29</v>
      </c>
      <c r="V13" s="13" t="s">
        <v>236</v>
      </c>
      <c r="W13" s="13" t="s">
        <v>30</v>
      </c>
      <c r="X13" s="13" t="s">
        <v>31</v>
      </c>
      <c r="Y13" s="13" t="s">
        <v>237</v>
      </c>
    </row>
    <row r="14" spans="1:25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7"/>
      <c r="B15" s="19" t="s">
        <v>32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>
      <c r="A16" s="7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>
      <c r="A17" s="22">
        <v>1</v>
      </c>
      <c r="B17" s="19" t="s">
        <v>33</v>
      </c>
      <c r="C17" s="20">
        <f>SUM(O17:S17)</f>
        <v>246284.85</v>
      </c>
      <c r="D17" s="20">
        <f>SUM(U17:Y17)</f>
        <v>215394.9</v>
      </c>
      <c r="E17" s="20"/>
      <c r="F17" s="20"/>
      <c r="G17" s="20">
        <f>ROUND(SUM(C17:F17)/2,0)</f>
        <v>230840</v>
      </c>
      <c r="H17" s="20"/>
      <c r="I17" s="20">
        <f>(+O17+U17)/2</f>
        <v>230839.875</v>
      </c>
      <c r="J17" s="20">
        <f>(+P17+V17)/2</f>
        <v>0</v>
      </c>
      <c r="K17" s="20">
        <f>(+Q17+W17)/2</f>
        <v>0</v>
      </c>
      <c r="L17" s="20">
        <f>(+R17+X17)/2</f>
        <v>0</v>
      </c>
      <c r="M17" s="20">
        <f>(+S17+Y17)/2</f>
        <v>0</v>
      </c>
      <c r="N17" s="20"/>
      <c r="O17" s="20">
        <v>246284.85</v>
      </c>
      <c r="P17" s="20">
        <v>0</v>
      </c>
      <c r="Q17" s="20">
        <v>0</v>
      </c>
      <c r="R17" s="20">
        <v>0</v>
      </c>
      <c r="S17" s="20">
        <v>0</v>
      </c>
      <c r="T17" s="20"/>
      <c r="U17" s="20">
        <v>215394.9</v>
      </c>
      <c r="V17" s="20">
        <v>0</v>
      </c>
      <c r="W17" s="20">
        <v>0</v>
      </c>
      <c r="X17" s="20">
        <v>0</v>
      </c>
      <c r="Y17" s="20">
        <v>0</v>
      </c>
    </row>
    <row r="18" spans="1:25" ht="15">
      <c r="A18" s="22">
        <f aca="true" t="shared" si="0" ref="A18:A81">A17+1</f>
        <v>2</v>
      </c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>
      <c r="A19" s="22">
        <f t="shared" si="0"/>
        <v>3</v>
      </c>
      <c r="B19" s="10" t="s">
        <v>34</v>
      </c>
      <c r="C19" s="20">
        <v>0</v>
      </c>
      <c r="D19" s="20">
        <v>0</v>
      </c>
      <c r="E19" s="20">
        <f aca="true" t="shared" si="1" ref="E19:F21">-C19</f>
        <v>0</v>
      </c>
      <c r="F19" s="20">
        <f t="shared" si="1"/>
        <v>0</v>
      </c>
      <c r="G19" s="20">
        <f>ROUND(SUM(C19:F19)/2,0)</f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>
      <c r="A20" s="22">
        <f t="shared" si="0"/>
        <v>4</v>
      </c>
      <c r="B20" s="10" t="s">
        <v>35</v>
      </c>
      <c r="C20" s="20">
        <v>0</v>
      </c>
      <c r="D20" s="20">
        <v>0</v>
      </c>
      <c r="E20" s="20">
        <f t="shared" si="1"/>
        <v>0</v>
      </c>
      <c r="F20" s="20">
        <f t="shared" si="1"/>
        <v>0</v>
      </c>
      <c r="G20" s="20">
        <f>ROUND(SUM(C20:F20)/2,0)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>
      <c r="A21" s="22">
        <f t="shared" si="0"/>
        <v>5</v>
      </c>
      <c r="B21" s="10" t="s">
        <v>36</v>
      </c>
      <c r="C21" s="20">
        <v>0</v>
      </c>
      <c r="D21" s="20">
        <v>0</v>
      </c>
      <c r="E21" s="20">
        <f t="shared" si="1"/>
        <v>0</v>
      </c>
      <c r="F21" s="20">
        <f t="shared" si="1"/>
        <v>0</v>
      </c>
      <c r="G21" s="20">
        <f>ROUND(SUM(C21:F21)/2,0)</f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>
      <c r="A22" s="22">
        <f t="shared" si="0"/>
        <v>6</v>
      </c>
      <c r="B22" s="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thickBot="1">
      <c r="A23" s="22">
        <f t="shared" si="0"/>
        <v>7</v>
      </c>
      <c r="B23" s="19" t="s">
        <v>37</v>
      </c>
      <c r="C23" s="23">
        <f aca="true" t="shared" si="2" ref="C23:O23">SUM(C17:C22)</f>
        <v>246284.85</v>
      </c>
      <c r="D23" s="23">
        <f t="shared" si="2"/>
        <v>215394.9</v>
      </c>
      <c r="E23" s="23">
        <f t="shared" si="2"/>
        <v>0</v>
      </c>
      <c r="F23" s="23">
        <f t="shared" si="2"/>
        <v>0</v>
      </c>
      <c r="G23" s="23">
        <f t="shared" si="2"/>
        <v>230840</v>
      </c>
      <c r="H23" s="23"/>
      <c r="I23" s="23">
        <f>SUM(I17:I22)</f>
        <v>230839.875</v>
      </c>
      <c r="J23" s="23">
        <f>SUM(J17:J22)</f>
        <v>0</v>
      </c>
      <c r="K23" s="23">
        <f>SUM(K17:K22)</f>
        <v>0</v>
      </c>
      <c r="L23" s="23">
        <f>SUM(L17:L22)</f>
        <v>0</v>
      </c>
      <c r="M23" s="23">
        <f>SUM(M17:M22)</f>
        <v>0</v>
      </c>
      <c r="N23" s="23"/>
      <c r="O23" s="23">
        <f t="shared" si="2"/>
        <v>246284.85</v>
      </c>
      <c r="P23" s="23">
        <f>SUM(P17:P22)</f>
        <v>0</v>
      </c>
      <c r="Q23" s="23">
        <f>SUM(Q17:Q22)</f>
        <v>0</v>
      </c>
      <c r="R23" s="23">
        <f>SUM(R17:R22)</f>
        <v>0</v>
      </c>
      <c r="S23" s="23">
        <f>SUM(S17:S22)</f>
        <v>0</v>
      </c>
      <c r="T23" s="20"/>
      <c r="U23" s="23">
        <f>SUM(U17:U22)</f>
        <v>215394.9</v>
      </c>
      <c r="V23" s="23">
        <f>SUM(V17:V22)</f>
        <v>0</v>
      </c>
      <c r="W23" s="23">
        <f>SUM(W17:W22)</f>
        <v>0</v>
      </c>
      <c r="X23" s="23">
        <f>SUM(X17:X22)</f>
        <v>0</v>
      </c>
      <c r="Y23" s="23">
        <f>SUM(Y17:Y22)</f>
        <v>0</v>
      </c>
    </row>
    <row r="24" spans="1:25" ht="15.75" thickTop="1">
      <c r="A24" s="22">
        <f t="shared" si="0"/>
        <v>8</v>
      </c>
      <c r="B24" s="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0"/>
      <c r="U24" s="24"/>
      <c r="V24" s="24"/>
      <c r="W24" s="24"/>
      <c r="X24" s="24"/>
      <c r="Y24" s="24"/>
    </row>
    <row r="25" spans="1:25" ht="15">
      <c r="A25" s="22">
        <f t="shared" si="0"/>
        <v>9</v>
      </c>
      <c r="B25" s="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>
      <c r="A26" s="22">
        <f t="shared" si="0"/>
        <v>10</v>
      </c>
      <c r="B26" s="10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>
      <c r="A27" s="22">
        <f t="shared" si="0"/>
        <v>11</v>
      </c>
      <c r="B27" s="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">
      <c r="A28" s="22">
        <f t="shared" si="0"/>
        <v>12</v>
      </c>
      <c r="B28" s="10" t="s">
        <v>238</v>
      </c>
      <c r="C28" s="20">
        <f aca="true" t="shared" si="3" ref="C28:C79">SUM(O28:S28)</f>
        <v>741407</v>
      </c>
      <c r="D28" s="20">
        <f aca="true" t="shared" si="4" ref="D28:D79">SUM(U28:Y28)</f>
        <v>741407</v>
      </c>
      <c r="E28" s="20"/>
      <c r="F28" s="20"/>
      <c r="G28" s="20">
        <f aca="true" t="shared" si="5" ref="G28:G82">ROUND(SUM(C28:F28)/2,0)</f>
        <v>741407</v>
      </c>
      <c r="H28" s="20"/>
      <c r="I28" s="20">
        <f aca="true" t="shared" si="6" ref="I28:M43">(+O28+U28)/2</f>
        <v>0</v>
      </c>
      <c r="J28" s="20">
        <f t="shared" si="6"/>
        <v>741407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/>
      <c r="O28" s="20">
        <v>0</v>
      </c>
      <c r="P28" s="20">
        <v>741407</v>
      </c>
      <c r="Q28" s="20">
        <v>0</v>
      </c>
      <c r="R28" s="20">
        <v>0</v>
      </c>
      <c r="S28" s="20">
        <v>0</v>
      </c>
      <c r="T28" s="20"/>
      <c r="U28" s="20">
        <v>0</v>
      </c>
      <c r="V28" s="20">
        <v>741407</v>
      </c>
      <c r="W28" s="20">
        <v>0</v>
      </c>
      <c r="X28" s="20">
        <v>0</v>
      </c>
      <c r="Y28" s="20">
        <v>0</v>
      </c>
    </row>
    <row r="29" spans="1:25" ht="15">
      <c r="A29" s="22">
        <f t="shared" si="0"/>
        <v>13</v>
      </c>
      <c r="B29" s="10" t="s">
        <v>239</v>
      </c>
      <c r="C29" s="20">
        <f t="shared" si="3"/>
        <v>0</v>
      </c>
      <c r="D29" s="20">
        <f t="shared" si="4"/>
        <v>0</v>
      </c>
      <c r="E29" s="20"/>
      <c r="F29" s="20"/>
      <c r="G29" s="20">
        <f t="shared" si="5"/>
        <v>0</v>
      </c>
      <c r="H29" s="20"/>
      <c r="I29" s="20">
        <f t="shared" si="6"/>
        <v>0</v>
      </c>
      <c r="J29" s="20">
        <f t="shared" si="6"/>
        <v>0</v>
      </c>
      <c r="K29" s="20">
        <f t="shared" si="6"/>
        <v>0</v>
      </c>
      <c r="L29" s="20">
        <f t="shared" si="6"/>
        <v>0</v>
      </c>
      <c r="M29" s="20">
        <f t="shared" si="6"/>
        <v>0</v>
      </c>
      <c r="N29" s="20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/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22">
        <f t="shared" si="0"/>
        <v>14</v>
      </c>
      <c r="B30" s="10" t="s">
        <v>240</v>
      </c>
      <c r="C30" s="20">
        <f t="shared" si="3"/>
        <v>-1371542</v>
      </c>
      <c r="D30" s="20">
        <f t="shared" si="4"/>
        <v>-1371542</v>
      </c>
      <c r="E30" s="20"/>
      <c r="F30" s="20"/>
      <c r="G30" s="20">
        <f t="shared" si="5"/>
        <v>-1371542</v>
      </c>
      <c r="H30" s="20"/>
      <c r="I30" s="20">
        <f t="shared" si="6"/>
        <v>-23541</v>
      </c>
      <c r="J30" s="20">
        <f t="shared" si="6"/>
        <v>-248</v>
      </c>
      <c r="K30" s="20">
        <f t="shared" si="6"/>
        <v>-716765</v>
      </c>
      <c r="L30" s="20">
        <f t="shared" si="6"/>
        <v>-630988</v>
      </c>
      <c r="M30" s="20">
        <f t="shared" si="6"/>
        <v>0</v>
      </c>
      <c r="N30" s="20"/>
      <c r="O30" s="20">
        <v>-23541</v>
      </c>
      <c r="P30" s="20">
        <v>-248</v>
      </c>
      <c r="Q30" s="20">
        <v>-716765</v>
      </c>
      <c r="R30" s="20">
        <v>-630988</v>
      </c>
      <c r="S30" s="20">
        <v>0</v>
      </c>
      <c r="T30" s="20"/>
      <c r="U30" s="20">
        <v>-23541</v>
      </c>
      <c r="V30" s="20">
        <v>-248</v>
      </c>
      <c r="W30" s="20">
        <v>-716765</v>
      </c>
      <c r="X30" s="20">
        <v>-630988</v>
      </c>
      <c r="Y30" s="20">
        <v>0</v>
      </c>
    </row>
    <row r="31" spans="1:25" ht="15">
      <c r="A31" s="22">
        <f t="shared" si="0"/>
        <v>15</v>
      </c>
      <c r="B31" s="19" t="s">
        <v>241</v>
      </c>
      <c r="C31" s="20">
        <f t="shared" si="3"/>
        <v>572537358.97</v>
      </c>
      <c r="D31" s="20">
        <f t="shared" si="4"/>
        <v>626603530.52</v>
      </c>
      <c r="E31" s="20"/>
      <c r="F31" s="20"/>
      <c r="G31" s="20">
        <f t="shared" si="5"/>
        <v>599570445</v>
      </c>
      <c r="H31" s="20"/>
      <c r="I31" s="20">
        <f t="shared" si="6"/>
        <v>68650941.5</v>
      </c>
      <c r="J31" s="20">
        <f t="shared" si="6"/>
        <v>214712743.525</v>
      </c>
      <c r="K31" s="20">
        <f t="shared" si="6"/>
        <v>142524040.1</v>
      </c>
      <c r="L31" s="20">
        <f t="shared" si="6"/>
        <v>173682719.62</v>
      </c>
      <c r="M31" s="20">
        <f t="shared" si="6"/>
        <v>0</v>
      </c>
      <c r="N31" s="20"/>
      <c r="O31" s="20">
        <f>5367.5+2348+19410.15+1592+21001687.7+2884+29872830.95+1687055+5697534.95-23718+5766543.5+22453+4036179.7</f>
        <v>68092168.45</v>
      </c>
      <c r="P31" s="20">
        <f>110.9+38-0.15+201529377.3+412679</f>
        <v>201942205.05</v>
      </c>
      <c r="Q31" s="20">
        <f>373.1+145-0.35+135609922+1470480</f>
        <v>137080919.75</v>
      </c>
      <c r="R31" s="20">
        <f>6701.8+2604+165492339.92-79580</f>
        <v>165422065.72</v>
      </c>
      <c r="S31" s="20">
        <v>0</v>
      </c>
      <c r="T31" s="20"/>
      <c r="U31" s="20">
        <f>4126.4+1755+19327.2+1592+23620187.15+3045+28813861.85+1502161+4881393.4-19380+6230487.75+20364+4130793.8</f>
        <v>69209714.55</v>
      </c>
      <c r="V31" s="20">
        <f>83.25+33-0.15+227434646.9+48519</f>
        <v>227483282</v>
      </c>
      <c r="W31" s="20">
        <f>324.8+128-0.35+146557425+1409283</f>
        <v>147967160.45</v>
      </c>
      <c r="X31" s="20">
        <f>5550.65+2210+182003658.87-68046</f>
        <v>181943373.52</v>
      </c>
      <c r="Y31" s="20">
        <v>0</v>
      </c>
    </row>
    <row r="32" spans="1:25" ht="15">
      <c r="A32" s="22">
        <f t="shared" si="0"/>
        <v>16</v>
      </c>
      <c r="B32" s="19" t="s">
        <v>44</v>
      </c>
      <c r="C32" s="20">
        <f>SUM(O32:S32)</f>
        <v>20910012.2</v>
      </c>
      <c r="D32" s="20">
        <f>SUM(U32:Y32)</f>
        <v>23891707</v>
      </c>
      <c r="E32" s="20"/>
      <c r="F32" s="20"/>
      <c r="G32" s="20">
        <f>ROUND(SUM(C32:F32)/2,0)</f>
        <v>22400860</v>
      </c>
      <c r="H32" s="20"/>
      <c r="I32" s="20">
        <f>(+O32+U32)/2</f>
        <v>1876849.7999999998</v>
      </c>
      <c r="J32" s="20">
        <f>(+P32+V32)/2</f>
        <v>20139436.799999997</v>
      </c>
      <c r="K32" s="20">
        <f>(+Q32+W32)/2</f>
        <v>0</v>
      </c>
      <c r="L32" s="20">
        <f>(+R32+X32)/2</f>
        <v>384573</v>
      </c>
      <c r="M32" s="20">
        <f>(+S32+Y32)/2</f>
        <v>0</v>
      </c>
      <c r="N32" s="20"/>
      <c r="O32" s="20">
        <v>447416.55</v>
      </c>
      <c r="P32" s="20">
        <v>20078022.65</v>
      </c>
      <c r="Q32" s="20">
        <v>0</v>
      </c>
      <c r="R32" s="20">
        <v>384573</v>
      </c>
      <c r="S32" s="20">
        <v>0</v>
      </c>
      <c r="T32" s="20"/>
      <c r="U32" s="20">
        <v>3306283.05</v>
      </c>
      <c r="V32" s="20">
        <v>20200850.95</v>
      </c>
      <c r="W32" s="20">
        <v>0</v>
      </c>
      <c r="X32" s="20">
        <v>384573</v>
      </c>
      <c r="Y32" s="20">
        <v>0</v>
      </c>
    </row>
    <row r="33" spans="1:25" ht="15">
      <c r="A33" s="22">
        <f t="shared" si="0"/>
        <v>17</v>
      </c>
      <c r="B33" s="19" t="s">
        <v>242</v>
      </c>
      <c r="C33" s="20">
        <f>SUM(O33:S33)</f>
        <v>3717095.5499999993</v>
      </c>
      <c r="D33" s="20">
        <f>SUM(U33:Y33)</f>
        <v>3717095.5499999993</v>
      </c>
      <c r="E33" s="20"/>
      <c r="F33" s="20"/>
      <c r="G33" s="20">
        <f>ROUND(SUM(C33:F33)/2,0)</f>
        <v>3717096</v>
      </c>
      <c r="H33" s="20"/>
      <c r="I33" s="20">
        <f aca="true" t="shared" si="7" ref="I33:M36">(+O33+U33)/2</f>
        <v>1162302.15</v>
      </c>
      <c r="J33" s="20">
        <f t="shared" si="7"/>
        <v>1198773.95</v>
      </c>
      <c r="K33" s="20">
        <f t="shared" si="7"/>
        <v>890831.15</v>
      </c>
      <c r="L33" s="20">
        <f t="shared" si="7"/>
        <v>465188.3</v>
      </c>
      <c r="M33" s="20">
        <f t="shared" si="7"/>
        <v>0</v>
      </c>
      <c r="N33" s="20"/>
      <c r="O33" s="20">
        <v>1162302.15</v>
      </c>
      <c r="P33" s="20">
        <v>1198773.95</v>
      </c>
      <c r="Q33" s="20">
        <v>890831.15</v>
      </c>
      <c r="R33" s="20">
        <v>465188.3</v>
      </c>
      <c r="S33" s="20">
        <v>0</v>
      </c>
      <c r="T33" s="20"/>
      <c r="U33" s="20">
        <v>1162302.15</v>
      </c>
      <c r="V33" s="20">
        <v>1198773.95</v>
      </c>
      <c r="W33" s="20">
        <v>890831.15</v>
      </c>
      <c r="X33" s="20">
        <v>465188.3</v>
      </c>
      <c r="Y33" s="20">
        <v>0</v>
      </c>
    </row>
    <row r="34" spans="1:25" ht="15">
      <c r="A34" s="22">
        <f t="shared" si="0"/>
        <v>18</v>
      </c>
      <c r="B34" s="19" t="s">
        <v>243</v>
      </c>
      <c r="C34" s="20">
        <f>SUM(O34:S34)</f>
        <v>232431.15</v>
      </c>
      <c r="D34" s="20">
        <f>SUM(U34:Y34)</f>
        <v>185280.2</v>
      </c>
      <c r="E34" s="20"/>
      <c r="F34" s="20"/>
      <c r="G34" s="20">
        <f>ROUND(SUM(C34:F34)/2,0)</f>
        <v>208856</v>
      </c>
      <c r="H34" s="20"/>
      <c r="I34" s="20">
        <f t="shared" si="7"/>
        <v>13004.25</v>
      </c>
      <c r="J34" s="20">
        <f t="shared" si="7"/>
        <v>163150.75</v>
      </c>
      <c r="K34" s="20">
        <f t="shared" si="7"/>
        <v>10058.3</v>
      </c>
      <c r="L34" s="20">
        <f t="shared" si="7"/>
        <v>22642.375</v>
      </c>
      <c r="M34" s="20">
        <f t="shared" si="7"/>
        <v>0</v>
      </c>
      <c r="N34" s="20"/>
      <c r="O34" s="20">
        <v>14472.15</v>
      </c>
      <c r="P34" s="20">
        <v>181567.05</v>
      </c>
      <c r="Q34" s="20">
        <v>11193.7</v>
      </c>
      <c r="R34" s="20">
        <v>25198.25</v>
      </c>
      <c r="S34" s="20">
        <v>0</v>
      </c>
      <c r="T34" s="20"/>
      <c r="U34" s="20">
        <v>11536.35</v>
      </c>
      <c r="V34" s="20">
        <v>144734.45</v>
      </c>
      <c r="W34" s="20">
        <v>8922.9</v>
      </c>
      <c r="X34" s="20">
        <v>20086.5</v>
      </c>
      <c r="Y34" s="20">
        <v>0</v>
      </c>
    </row>
    <row r="35" spans="1:25" ht="15">
      <c r="A35" s="22">
        <f t="shared" si="0"/>
        <v>19</v>
      </c>
      <c r="B35" s="19" t="s">
        <v>244</v>
      </c>
      <c r="C35" s="20">
        <f>SUM(O35:S35)</f>
        <v>660434.6</v>
      </c>
      <c r="D35" s="20">
        <f>SUM(U35:Y35)</f>
        <v>546105.35</v>
      </c>
      <c r="E35" s="20"/>
      <c r="F35" s="20"/>
      <c r="G35" s="20">
        <f>ROUND(SUM(C35:F35)/2,0)</f>
        <v>603270</v>
      </c>
      <c r="H35" s="20"/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603269.975</v>
      </c>
      <c r="M35" s="20">
        <f t="shared" si="7"/>
        <v>0</v>
      </c>
      <c r="N35" s="20"/>
      <c r="O35" s="20">
        <v>0</v>
      </c>
      <c r="P35" s="20">
        <v>0</v>
      </c>
      <c r="Q35" s="20">
        <v>0</v>
      </c>
      <c r="R35" s="20">
        <v>660434.6</v>
      </c>
      <c r="S35" s="20">
        <v>0</v>
      </c>
      <c r="T35" s="20"/>
      <c r="U35" s="20">
        <v>0</v>
      </c>
      <c r="V35" s="20">
        <v>0</v>
      </c>
      <c r="W35" s="20">
        <v>0</v>
      </c>
      <c r="X35" s="20">
        <v>546105.35</v>
      </c>
      <c r="Y35" s="20">
        <v>0</v>
      </c>
    </row>
    <row r="36" spans="1:25" ht="15">
      <c r="A36" s="22">
        <f t="shared" si="0"/>
        <v>20</v>
      </c>
      <c r="B36" s="19" t="s">
        <v>245</v>
      </c>
      <c r="C36" s="20">
        <f>SUM(O36:S36)</f>
        <v>385993.98</v>
      </c>
      <c r="D36" s="20">
        <f>SUM(U36:Y36)</f>
        <v>323586.7</v>
      </c>
      <c r="E36" s="20"/>
      <c r="F36" s="20"/>
      <c r="G36" s="20">
        <f>ROUND(SUM(C36:F36)/2,0)</f>
        <v>354790</v>
      </c>
      <c r="H36" s="20"/>
      <c r="I36" s="20">
        <f t="shared" si="7"/>
        <v>0</v>
      </c>
      <c r="J36" s="20">
        <f t="shared" si="7"/>
        <v>197457.225</v>
      </c>
      <c r="K36" s="20">
        <f t="shared" si="7"/>
        <v>157333.115</v>
      </c>
      <c r="L36" s="20">
        <f t="shared" si="7"/>
        <v>0</v>
      </c>
      <c r="M36" s="20">
        <f t="shared" si="7"/>
        <v>0</v>
      </c>
      <c r="N36" s="20"/>
      <c r="O36" s="20">
        <v>0</v>
      </c>
      <c r="P36" s="20">
        <v>205355.5</v>
      </c>
      <c r="Q36" s="20">
        <v>180638.48</v>
      </c>
      <c r="R36" s="20">
        <v>0</v>
      </c>
      <c r="S36" s="20">
        <v>0</v>
      </c>
      <c r="T36" s="20"/>
      <c r="U36" s="20">
        <v>0</v>
      </c>
      <c r="V36" s="20">
        <v>189558.95</v>
      </c>
      <c r="W36" s="20">
        <v>134027.75</v>
      </c>
      <c r="X36" s="20">
        <v>0</v>
      </c>
      <c r="Y36" s="20">
        <v>0</v>
      </c>
    </row>
    <row r="37" spans="1:25" ht="15">
      <c r="A37" s="22">
        <f t="shared" si="0"/>
        <v>21</v>
      </c>
      <c r="B37" s="19" t="s">
        <v>246</v>
      </c>
      <c r="C37" s="20">
        <f t="shared" si="3"/>
        <v>79547116.93</v>
      </c>
      <c r="D37" s="20">
        <f t="shared" si="4"/>
        <v>77712096.47</v>
      </c>
      <c r="E37" s="20"/>
      <c r="F37" s="20"/>
      <c r="G37" s="20">
        <f t="shared" si="5"/>
        <v>78629607</v>
      </c>
      <c r="H37" s="20"/>
      <c r="I37" s="20">
        <f t="shared" si="6"/>
        <v>11461872.775</v>
      </c>
      <c r="J37" s="20">
        <f t="shared" si="6"/>
        <v>66974739.30500001</v>
      </c>
      <c r="K37" s="20">
        <f t="shared" si="6"/>
        <v>4714.245000000001</v>
      </c>
      <c r="L37" s="20">
        <f t="shared" si="6"/>
        <v>188280.375</v>
      </c>
      <c r="M37" s="20">
        <f t="shared" si="6"/>
        <v>0</v>
      </c>
      <c r="N37" s="20"/>
      <c r="O37" s="20">
        <v>10887137.16</v>
      </c>
      <c r="P37" s="20">
        <v>68376089.84</v>
      </c>
      <c r="Q37" s="20">
        <v>12251.7</v>
      </c>
      <c r="R37" s="20">
        <v>271638.23</v>
      </c>
      <c r="S37" s="20">
        <v>0</v>
      </c>
      <c r="T37" s="20"/>
      <c r="U37" s="20">
        <v>12036608.39</v>
      </c>
      <c r="V37" s="20">
        <v>65573388.77</v>
      </c>
      <c r="W37" s="20">
        <v>-2823.21</v>
      </c>
      <c r="X37" s="20">
        <v>104922.52</v>
      </c>
      <c r="Y37" s="20">
        <v>0</v>
      </c>
    </row>
    <row r="38" spans="1:25" ht="15">
      <c r="A38" s="22">
        <f t="shared" si="0"/>
        <v>22</v>
      </c>
      <c r="B38" s="19" t="s">
        <v>48</v>
      </c>
      <c r="C38" s="20">
        <f t="shared" si="3"/>
        <v>47831506.15</v>
      </c>
      <c r="D38" s="20">
        <f t="shared" si="4"/>
        <v>51316083.1</v>
      </c>
      <c r="E38" s="20"/>
      <c r="F38" s="20"/>
      <c r="G38" s="20">
        <f t="shared" si="5"/>
        <v>49573795</v>
      </c>
      <c r="H38" s="20"/>
      <c r="I38" s="20">
        <f t="shared" si="6"/>
        <v>6229587.75</v>
      </c>
      <c r="J38" s="20">
        <f t="shared" si="6"/>
        <v>17767633.15</v>
      </c>
      <c r="K38" s="20">
        <f t="shared" si="6"/>
        <v>5926826.65</v>
      </c>
      <c r="L38" s="20">
        <f t="shared" si="6"/>
        <v>19649747.075</v>
      </c>
      <c r="M38" s="20">
        <f t="shared" si="6"/>
        <v>0</v>
      </c>
      <c r="N38" s="20"/>
      <c r="O38" s="20">
        <f>11937158-5879264</f>
        <v>6057894</v>
      </c>
      <c r="P38" s="20">
        <f>18976277.5-1259480</f>
        <v>17716797.5</v>
      </c>
      <c r="Q38" s="20">
        <f>10765096.75-4834835</f>
        <v>5930261.75</v>
      </c>
      <c r="R38" s="20">
        <f>26816899.9-8690347</f>
        <v>18126552.9</v>
      </c>
      <c r="S38" s="20">
        <v>0</v>
      </c>
      <c r="T38" s="20"/>
      <c r="U38" s="20">
        <f>12717472.5-6316191</f>
        <v>6401281.5</v>
      </c>
      <c r="V38" s="20">
        <f>19749132.8-1930664</f>
        <v>17818468.8</v>
      </c>
      <c r="W38" s="20">
        <f>11135588.55-5212197</f>
        <v>5923391.550000001</v>
      </c>
      <c r="X38" s="20">
        <f>30964568.25-9791627</f>
        <v>21172941.25</v>
      </c>
      <c r="Y38" s="20">
        <v>0</v>
      </c>
    </row>
    <row r="39" spans="1:25" ht="15">
      <c r="A39" s="22">
        <f t="shared" si="0"/>
        <v>23</v>
      </c>
      <c r="B39" s="19" t="s">
        <v>247</v>
      </c>
      <c r="C39" s="20">
        <f>SUM(O39:S39)</f>
        <v>-3541226.82</v>
      </c>
      <c r="D39" s="20">
        <f>SUM(U39:Y39)</f>
        <v>-3243943.47</v>
      </c>
      <c r="E39" s="20"/>
      <c r="F39" s="20"/>
      <c r="G39" s="20">
        <f>ROUND(SUM(C39:F39)/2,0)</f>
        <v>-3392585</v>
      </c>
      <c r="H39" s="20"/>
      <c r="I39" s="20">
        <f>(+O39+U39)/2</f>
        <v>-2926949.645</v>
      </c>
      <c r="J39" s="20">
        <f>(+P39+V39)/2</f>
        <v>-465635.5</v>
      </c>
      <c r="K39" s="20">
        <f>(+Q39+W39)/2</f>
        <v>0</v>
      </c>
      <c r="L39" s="20">
        <f>(+R39+X39)/2</f>
        <v>0</v>
      </c>
      <c r="M39" s="20">
        <f>(+S39+Y39)/2</f>
        <v>0</v>
      </c>
      <c r="N39" s="20"/>
      <c r="O39" s="20">
        <v>-3055190.17</v>
      </c>
      <c r="P39" s="20">
        <v>-486036.65</v>
      </c>
      <c r="Q39" s="20">
        <v>0</v>
      </c>
      <c r="R39" s="20">
        <v>0</v>
      </c>
      <c r="S39" s="20">
        <v>0</v>
      </c>
      <c r="T39" s="20"/>
      <c r="U39" s="20">
        <v>-2798709.12</v>
      </c>
      <c r="V39" s="20">
        <v>-445234.35</v>
      </c>
      <c r="W39" s="20">
        <v>0</v>
      </c>
      <c r="X39" s="20">
        <v>0</v>
      </c>
      <c r="Y39" s="20">
        <v>0</v>
      </c>
    </row>
    <row r="40" spans="1:25" ht="15">
      <c r="A40" s="22">
        <f t="shared" si="0"/>
        <v>24</v>
      </c>
      <c r="B40" s="10" t="s">
        <v>50</v>
      </c>
      <c r="C40" s="20">
        <f t="shared" si="3"/>
        <v>17194855.91</v>
      </c>
      <c r="D40" s="20">
        <f t="shared" si="4"/>
        <v>18160201.14</v>
      </c>
      <c r="E40" s="20"/>
      <c r="F40" s="20"/>
      <c r="G40" s="20">
        <f t="shared" si="5"/>
        <v>17677529</v>
      </c>
      <c r="H40" s="20"/>
      <c r="I40" s="20">
        <f t="shared" si="6"/>
        <v>3776267.98</v>
      </c>
      <c r="J40" s="20">
        <f t="shared" si="6"/>
        <v>6618732.365</v>
      </c>
      <c r="K40" s="20">
        <f t="shared" si="6"/>
        <v>3469382.75</v>
      </c>
      <c r="L40" s="20">
        <f t="shared" si="6"/>
        <v>3813145.4300000006</v>
      </c>
      <c r="M40" s="20">
        <f t="shared" si="6"/>
        <v>0</v>
      </c>
      <c r="N40" s="20"/>
      <c r="O40" s="20">
        <f>6716531.34-2786341</f>
        <v>3930190.34</v>
      </c>
      <c r="P40" s="20">
        <f>7278174.59-1367257</f>
        <v>5910917.59</v>
      </c>
      <c r="Q40" s="20">
        <f>7689999.85-4195282</f>
        <v>3494717.8499999996</v>
      </c>
      <c r="R40" s="20">
        <f>8464165.13-4605135</f>
        <v>3859030.130000001</v>
      </c>
      <c r="S40" s="20">
        <v>0</v>
      </c>
      <c r="T40" s="20"/>
      <c r="U40" s="20">
        <f>6597718.62-2975373</f>
        <v>3622345.62</v>
      </c>
      <c r="V40" s="20">
        <f>8962783.14-1636236</f>
        <v>7326547.140000001</v>
      </c>
      <c r="W40" s="20">
        <f>7873630.65-4429583</f>
        <v>3444047.6500000004</v>
      </c>
      <c r="X40" s="20">
        <f>8629666.73-4862406</f>
        <v>3767260.7300000004</v>
      </c>
      <c r="Y40" s="20">
        <v>0</v>
      </c>
    </row>
    <row r="41" spans="1:25" ht="15">
      <c r="A41" s="22">
        <f t="shared" si="0"/>
        <v>25</v>
      </c>
      <c r="B41" s="10" t="s">
        <v>248</v>
      </c>
      <c r="C41" s="20">
        <f t="shared" si="3"/>
        <v>1345518.1500000004</v>
      </c>
      <c r="D41" s="20">
        <f t="shared" si="4"/>
        <v>1259100.8499999996</v>
      </c>
      <c r="E41" s="20"/>
      <c r="F41" s="20"/>
      <c r="G41" s="20">
        <f t="shared" si="5"/>
        <v>1302310</v>
      </c>
      <c r="H41" s="20"/>
      <c r="I41" s="20">
        <f t="shared" si="6"/>
        <v>0</v>
      </c>
      <c r="J41" s="20">
        <f t="shared" si="6"/>
        <v>1302309.5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/>
      <c r="O41" s="20">
        <v>0</v>
      </c>
      <c r="P41" s="20">
        <f>7720487.15-6374969</f>
        <v>1345518.1500000004</v>
      </c>
      <c r="Q41" s="20">
        <v>0</v>
      </c>
      <c r="R41" s="20">
        <v>0</v>
      </c>
      <c r="S41" s="20">
        <v>0</v>
      </c>
      <c r="T41" s="20"/>
      <c r="U41" s="20">
        <v>0</v>
      </c>
      <c r="V41" s="20">
        <f>8670604.85-7411504</f>
        <v>1259100.8499999996</v>
      </c>
      <c r="W41" s="20">
        <v>0</v>
      </c>
      <c r="X41" s="20">
        <v>0</v>
      </c>
      <c r="Y41" s="20">
        <v>0</v>
      </c>
    </row>
    <row r="42" spans="1:25" ht="15">
      <c r="A42" s="22">
        <f t="shared" si="0"/>
        <v>26</v>
      </c>
      <c r="B42" s="10" t="s">
        <v>249</v>
      </c>
      <c r="C42" s="20">
        <f t="shared" si="3"/>
        <v>197124</v>
      </c>
      <c r="D42" s="20">
        <f t="shared" si="4"/>
        <v>131416</v>
      </c>
      <c r="E42" s="20"/>
      <c r="F42" s="20"/>
      <c r="G42" s="20">
        <f t="shared" si="5"/>
        <v>164270</v>
      </c>
      <c r="H42" s="20"/>
      <c r="I42" s="20">
        <f t="shared" si="6"/>
        <v>164270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/>
      <c r="O42" s="20">
        <f>1971237-1774113</f>
        <v>197124</v>
      </c>
      <c r="P42" s="20">
        <v>0</v>
      </c>
      <c r="Q42" s="20">
        <v>0</v>
      </c>
      <c r="R42" s="20">
        <v>0</v>
      </c>
      <c r="S42" s="20">
        <v>0</v>
      </c>
      <c r="T42" s="20"/>
      <c r="U42" s="20">
        <f>1971237-1839821</f>
        <v>131416</v>
      </c>
      <c r="V42" s="20">
        <v>0</v>
      </c>
      <c r="W42" s="20">
        <v>0</v>
      </c>
      <c r="X42" s="20">
        <v>0</v>
      </c>
      <c r="Y42" s="20">
        <v>0</v>
      </c>
    </row>
    <row r="43" spans="1:25" ht="15">
      <c r="A43" s="22">
        <f t="shared" si="0"/>
        <v>27</v>
      </c>
      <c r="B43" s="10" t="s">
        <v>250</v>
      </c>
      <c r="C43" s="20">
        <f t="shared" si="3"/>
        <v>645738.1500000004</v>
      </c>
      <c r="D43" s="20">
        <f t="shared" si="4"/>
        <v>473539.1500000004</v>
      </c>
      <c r="E43" s="20"/>
      <c r="F43" s="20"/>
      <c r="G43" s="20">
        <f t="shared" si="5"/>
        <v>559639</v>
      </c>
      <c r="H43" s="20"/>
      <c r="I43" s="20">
        <f t="shared" si="6"/>
        <v>0</v>
      </c>
      <c r="J43" s="20">
        <f t="shared" si="6"/>
        <v>0</v>
      </c>
      <c r="K43" s="20">
        <f t="shared" si="6"/>
        <v>559638.6500000004</v>
      </c>
      <c r="L43" s="20">
        <f t="shared" si="6"/>
        <v>0</v>
      </c>
      <c r="M43" s="20">
        <f t="shared" si="6"/>
        <v>0</v>
      </c>
      <c r="N43" s="20"/>
      <c r="O43" s="20">
        <v>0</v>
      </c>
      <c r="P43" s="20">
        <v>0</v>
      </c>
      <c r="Q43" s="20">
        <f>5165898.15-4520160</f>
        <v>645738.1500000004</v>
      </c>
      <c r="R43" s="20">
        <v>0</v>
      </c>
      <c r="S43" s="20">
        <v>0</v>
      </c>
      <c r="T43" s="20"/>
      <c r="U43" s="20">
        <v>0</v>
      </c>
      <c r="V43" s="20">
        <v>0</v>
      </c>
      <c r="W43" s="20">
        <f>5165898.15-4692359</f>
        <v>473539.1500000004</v>
      </c>
      <c r="X43" s="20">
        <v>0</v>
      </c>
      <c r="Y43" s="20">
        <v>0</v>
      </c>
    </row>
    <row r="44" spans="1:25" ht="15">
      <c r="A44" s="22">
        <f t="shared" si="0"/>
        <v>28</v>
      </c>
      <c r="B44" s="10" t="s">
        <v>251</v>
      </c>
      <c r="C44" s="20">
        <f t="shared" si="3"/>
        <v>2254043</v>
      </c>
      <c r="D44" s="20">
        <f t="shared" si="4"/>
        <v>1127022</v>
      </c>
      <c r="E44" s="20"/>
      <c r="F44" s="20"/>
      <c r="G44" s="20">
        <f t="shared" si="5"/>
        <v>1690533</v>
      </c>
      <c r="H44" s="20"/>
      <c r="I44" s="20">
        <f aca="true" t="shared" si="8" ref="I44:M93">(+O44+U44)/2</f>
        <v>1690532.5</v>
      </c>
      <c r="J44" s="20">
        <f t="shared" si="8"/>
        <v>0</v>
      </c>
      <c r="K44" s="20">
        <f t="shared" si="8"/>
        <v>0</v>
      </c>
      <c r="L44" s="20">
        <f t="shared" si="8"/>
        <v>0</v>
      </c>
      <c r="M44" s="20">
        <f t="shared" si="8"/>
        <v>0</v>
      </c>
      <c r="N44" s="20"/>
      <c r="O44" s="20">
        <f>33810646-31556603</f>
        <v>2254043</v>
      </c>
      <c r="P44" s="20">
        <v>0</v>
      </c>
      <c r="Q44" s="20">
        <v>0</v>
      </c>
      <c r="R44" s="20">
        <v>0</v>
      </c>
      <c r="S44" s="20">
        <v>0</v>
      </c>
      <c r="T44" s="20"/>
      <c r="U44" s="20">
        <f>33810646-32683624</f>
        <v>1127022</v>
      </c>
      <c r="V44" s="20">
        <v>0</v>
      </c>
      <c r="W44" s="20">
        <v>0</v>
      </c>
      <c r="X44" s="20">
        <v>0</v>
      </c>
      <c r="Y44" s="20">
        <v>0</v>
      </c>
    </row>
    <row r="45" spans="1:25" ht="15">
      <c r="A45" s="22">
        <f t="shared" si="0"/>
        <v>29</v>
      </c>
      <c r="B45" s="10" t="s">
        <v>252</v>
      </c>
      <c r="C45" s="20">
        <f t="shared" si="3"/>
        <v>489191</v>
      </c>
      <c r="D45" s="20">
        <f t="shared" si="4"/>
        <v>406540</v>
      </c>
      <c r="E45" s="20"/>
      <c r="F45" s="20"/>
      <c r="G45" s="20">
        <f t="shared" si="5"/>
        <v>447866</v>
      </c>
      <c r="H45" s="20"/>
      <c r="I45" s="20">
        <f t="shared" si="8"/>
        <v>447865.5</v>
      </c>
      <c r="J45" s="20">
        <f t="shared" si="8"/>
        <v>0</v>
      </c>
      <c r="K45" s="20">
        <f t="shared" si="8"/>
        <v>0</v>
      </c>
      <c r="L45" s="20">
        <f t="shared" si="8"/>
        <v>0</v>
      </c>
      <c r="M45" s="20">
        <f t="shared" si="8"/>
        <v>0</v>
      </c>
      <c r="N45" s="20"/>
      <c r="O45" s="20">
        <f>2396891-1907700</f>
        <v>489191</v>
      </c>
      <c r="P45" s="20">
        <v>0</v>
      </c>
      <c r="Q45" s="20">
        <v>0</v>
      </c>
      <c r="R45" s="20">
        <v>0</v>
      </c>
      <c r="S45" s="20">
        <v>0</v>
      </c>
      <c r="T45" s="20"/>
      <c r="U45" s="20">
        <f>2396891-1990351</f>
        <v>406540</v>
      </c>
      <c r="V45" s="20">
        <v>0</v>
      </c>
      <c r="W45" s="20">
        <v>0</v>
      </c>
      <c r="X45" s="20">
        <v>0</v>
      </c>
      <c r="Y45" s="20">
        <v>0</v>
      </c>
    </row>
    <row r="46" spans="1:25" ht="15">
      <c r="A46" s="22">
        <f t="shared" si="0"/>
        <v>30</v>
      </c>
      <c r="B46" s="10" t="s">
        <v>253</v>
      </c>
      <c r="C46" s="20">
        <f t="shared" si="3"/>
        <v>283978.0099999998</v>
      </c>
      <c r="D46" s="20">
        <f t="shared" si="4"/>
        <v>141990.00999999978</v>
      </c>
      <c r="E46" s="20"/>
      <c r="F46" s="20"/>
      <c r="G46" s="20">
        <f t="shared" si="5"/>
        <v>212984</v>
      </c>
      <c r="H46" s="20"/>
      <c r="I46" s="20">
        <f t="shared" si="8"/>
        <v>0</v>
      </c>
      <c r="J46" s="20">
        <f t="shared" si="8"/>
        <v>0</v>
      </c>
      <c r="K46" s="20">
        <f t="shared" si="8"/>
        <v>212984.00999999978</v>
      </c>
      <c r="L46" s="20">
        <f t="shared" si="8"/>
        <v>0</v>
      </c>
      <c r="M46" s="20">
        <f t="shared" si="8"/>
        <v>0</v>
      </c>
      <c r="N46" s="20"/>
      <c r="O46" s="20">
        <v>0</v>
      </c>
      <c r="P46" s="20">
        <v>0</v>
      </c>
      <c r="Q46" s="20">
        <f>4259682.01-3975704</f>
        <v>283978.0099999998</v>
      </c>
      <c r="R46" s="20">
        <v>0</v>
      </c>
      <c r="S46" s="20">
        <v>0</v>
      </c>
      <c r="T46" s="20"/>
      <c r="U46" s="20">
        <v>0</v>
      </c>
      <c r="V46" s="20">
        <v>0</v>
      </c>
      <c r="W46" s="20">
        <f>4259682.01-4117692</f>
        <v>141990.00999999978</v>
      </c>
      <c r="X46" s="20">
        <v>0</v>
      </c>
      <c r="Y46" s="20">
        <v>0</v>
      </c>
    </row>
    <row r="47" spans="1:25" ht="15">
      <c r="A47" s="22">
        <f t="shared" si="0"/>
        <v>31</v>
      </c>
      <c r="B47" s="10" t="s">
        <v>254</v>
      </c>
      <c r="C47" s="20">
        <f t="shared" si="3"/>
        <v>-109383</v>
      </c>
      <c r="D47" s="20">
        <f t="shared" si="4"/>
        <v>-54691</v>
      </c>
      <c r="E47" s="20"/>
      <c r="F47" s="20"/>
      <c r="G47" s="20">
        <f t="shared" si="5"/>
        <v>-82037</v>
      </c>
      <c r="H47" s="20"/>
      <c r="I47" s="20">
        <f t="shared" si="8"/>
        <v>-82037</v>
      </c>
      <c r="J47" s="20">
        <f t="shared" si="8"/>
        <v>0</v>
      </c>
      <c r="K47" s="20">
        <f t="shared" si="8"/>
        <v>0</v>
      </c>
      <c r="L47" s="20">
        <f t="shared" si="8"/>
        <v>0</v>
      </c>
      <c r="M47" s="20">
        <f t="shared" si="8"/>
        <v>0</v>
      </c>
      <c r="N47" s="20"/>
      <c r="O47" s="20">
        <f>-1640743+1531360</f>
        <v>-109383</v>
      </c>
      <c r="P47" s="20">
        <v>0</v>
      </c>
      <c r="Q47" s="20">
        <v>0</v>
      </c>
      <c r="R47" s="20">
        <v>0</v>
      </c>
      <c r="S47" s="20">
        <v>0</v>
      </c>
      <c r="T47" s="20"/>
      <c r="U47" s="20">
        <f>-1640743+1586052</f>
        <v>-54691</v>
      </c>
      <c r="V47" s="20">
        <v>0</v>
      </c>
      <c r="W47" s="20">
        <v>0</v>
      </c>
      <c r="X47" s="20">
        <v>0</v>
      </c>
      <c r="Y47" s="20">
        <v>0</v>
      </c>
    </row>
    <row r="48" spans="1:25" ht="15">
      <c r="A48" s="22">
        <f t="shared" si="0"/>
        <v>32</v>
      </c>
      <c r="B48" s="19" t="s">
        <v>255</v>
      </c>
      <c r="C48" s="20">
        <f t="shared" si="3"/>
        <v>54196</v>
      </c>
      <c r="D48" s="20">
        <f t="shared" si="4"/>
        <v>371</v>
      </c>
      <c r="E48" s="20"/>
      <c r="F48" s="20"/>
      <c r="G48" s="20">
        <f t="shared" si="5"/>
        <v>27284</v>
      </c>
      <c r="H48" s="20"/>
      <c r="I48" s="20">
        <f t="shared" si="8"/>
        <v>0</v>
      </c>
      <c r="J48" s="20">
        <f t="shared" si="8"/>
        <v>27283.5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/>
      <c r="O48" s="20">
        <v>0</v>
      </c>
      <c r="P48" s="20">
        <f>1345561-1291365</f>
        <v>54196</v>
      </c>
      <c r="Q48" s="20">
        <v>0</v>
      </c>
      <c r="R48" s="20">
        <v>0</v>
      </c>
      <c r="S48" s="20">
        <v>0</v>
      </c>
      <c r="T48" s="20"/>
      <c r="U48" s="20">
        <v>0</v>
      </c>
      <c r="V48" s="20">
        <f>1345561-1345190</f>
        <v>371</v>
      </c>
      <c r="W48" s="20">
        <v>0</v>
      </c>
      <c r="X48" s="20">
        <v>0</v>
      </c>
      <c r="Y48" s="20">
        <v>0</v>
      </c>
    </row>
    <row r="49" spans="1:25" ht="15">
      <c r="A49" s="22">
        <f t="shared" si="0"/>
        <v>33</v>
      </c>
      <c r="B49" s="10" t="s">
        <v>256</v>
      </c>
      <c r="C49" s="20">
        <f t="shared" si="3"/>
        <v>18694</v>
      </c>
      <c r="D49" s="20">
        <f t="shared" si="4"/>
        <v>14955</v>
      </c>
      <c r="E49" s="20"/>
      <c r="F49" s="20"/>
      <c r="G49" s="20">
        <f t="shared" si="5"/>
        <v>16825</v>
      </c>
      <c r="H49" s="20"/>
      <c r="I49" s="20">
        <f t="shared" si="8"/>
        <v>16824.5</v>
      </c>
      <c r="J49" s="20">
        <f t="shared" si="8"/>
        <v>0</v>
      </c>
      <c r="K49" s="20">
        <f t="shared" si="8"/>
        <v>0</v>
      </c>
      <c r="L49" s="20">
        <f t="shared" si="8"/>
        <v>0</v>
      </c>
      <c r="M49" s="20">
        <f t="shared" si="8"/>
        <v>0</v>
      </c>
      <c r="N49" s="20"/>
      <c r="O49" s="20">
        <f>112163-93469</f>
        <v>18694</v>
      </c>
      <c r="P49" s="20">
        <v>0</v>
      </c>
      <c r="Q49" s="20">
        <v>0</v>
      </c>
      <c r="R49" s="20">
        <v>0</v>
      </c>
      <c r="S49" s="20">
        <v>0</v>
      </c>
      <c r="T49" s="20"/>
      <c r="U49" s="20">
        <f>112163-97208</f>
        <v>14955</v>
      </c>
      <c r="V49" s="20">
        <v>0</v>
      </c>
      <c r="W49" s="20">
        <v>0</v>
      </c>
      <c r="X49" s="20">
        <v>0</v>
      </c>
      <c r="Y49" s="20">
        <v>0</v>
      </c>
    </row>
    <row r="50" spans="1:25" ht="15">
      <c r="A50" s="22">
        <f t="shared" si="0"/>
        <v>34</v>
      </c>
      <c r="B50" s="10" t="s">
        <v>257</v>
      </c>
      <c r="C50" s="20">
        <f t="shared" si="3"/>
        <v>59827</v>
      </c>
      <c r="D50" s="20">
        <f t="shared" si="4"/>
        <v>47862</v>
      </c>
      <c r="E50" s="20"/>
      <c r="F50" s="20"/>
      <c r="G50" s="20">
        <f t="shared" si="5"/>
        <v>53845</v>
      </c>
      <c r="H50" s="20"/>
      <c r="I50" s="20">
        <f t="shared" si="8"/>
        <v>53844.5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20">
        <f t="shared" si="8"/>
        <v>0</v>
      </c>
      <c r="N50" s="20"/>
      <c r="O50" s="20">
        <f>358962-299135</f>
        <v>59827</v>
      </c>
      <c r="P50" s="20">
        <v>0</v>
      </c>
      <c r="Q50" s="20">
        <v>0</v>
      </c>
      <c r="R50" s="20">
        <v>0</v>
      </c>
      <c r="S50" s="20">
        <v>0</v>
      </c>
      <c r="T50" s="20"/>
      <c r="U50" s="20">
        <f>358962-311100</f>
        <v>47862</v>
      </c>
      <c r="V50" s="20">
        <v>0</v>
      </c>
      <c r="W50" s="20">
        <v>0</v>
      </c>
      <c r="X50" s="20">
        <v>0</v>
      </c>
      <c r="Y50" s="20">
        <v>0</v>
      </c>
    </row>
    <row r="51" spans="1:25" ht="15">
      <c r="A51" s="22">
        <f t="shared" si="0"/>
        <v>35</v>
      </c>
      <c r="B51" s="44" t="s">
        <v>258</v>
      </c>
      <c r="C51" s="20">
        <f t="shared" si="3"/>
        <v>101546.75</v>
      </c>
      <c r="D51" s="20">
        <f t="shared" si="4"/>
        <v>52939.75</v>
      </c>
      <c r="E51" s="20"/>
      <c r="F51" s="20"/>
      <c r="G51" s="20">
        <f t="shared" si="5"/>
        <v>77243</v>
      </c>
      <c r="H51" s="20"/>
      <c r="I51" s="20">
        <f t="shared" si="8"/>
        <v>16613</v>
      </c>
      <c r="J51" s="20">
        <f t="shared" si="8"/>
        <v>184.5</v>
      </c>
      <c r="K51" s="20">
        <f t="shared" si="8"/>
        <v>28761.850000000093</v>
      </c>
      <c r="L51" s="20">
        <f t="shared" si="8"/>
        <v>31683.899999999907</v>
      </c>
      <c r="M51" s="20">
        <f t="shared" si="8"/>
        <v>0</v>
      </c>
      <c r="N51" s="20"/>
      <c r="O51" s="20">
        <f>694507-672667</f>
        <v>21840</v>
      </c>
      <c r="P51" s="20">
        <f>7739-7495</f>
        <v>244</v>
      </c>
      <c r="Q51" s="20">
        <f>1202372.85-1164562</f>
        <v>37810.85000000009</v>
      </c>
      <c r="R51" s="20">
        <f>1324509.9-1282858</f>
        <v>41651.89999999991</v>
      </c>
      <c r="S51" s="20">
        <v>0</v>
      </c>
      <c r="T51" s="20"/>
      <c r="U51" s="20">
        <f>694507-683121</f>
        <v>11386</v>
      </c>
      <c r="V51" s="20">
        <f>7739-7614</f>
        <v>125</v>
      </c>
      <c r="W51" s="20">
        <f>1202372.85-1182660</f>
        <v>19712.850000000093</v>
      </c>
      <c r="X51" s="20">
        <f>1324509.9-1302794</f>
        <v>21715.899999999907</v>
      </c>
      <c r="Y51" s="20">
        <v>0</v>
      </c>
    </row>
    <row r="52" spans="1:25" ht="15">
      <c r="A52" s="22">
        <f t="shared" si="0"/>
        <v>36</v>
      </c>
      <c r="B52" s="44" t="s">
        <v>259</v>
      </c>
      <c r="C52" s="20">
        <f t="shared" si="3"/>
        <v>22123</v>
      </c>
      <c r="D52" s="20">
        <f t="shared" si="4"/>
        <v>14749</v>
      </c>
      <c r="E52" s="20"/>
      <c r="F52" s="20"/>
      <c r="G52" s="20">
        <f t="shared" si="5"/>
        <v>18436</v>
      </c>
      <c r="H52" s="20"/>
      <c r="I52" s="20">
        <f t="shared" si="8"/>
        <v>18436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20">
        <f t="shared" si="8"/>
        <v>0</v>
      </c>
      <c r="N52" s="20"/>
      <c r="O52" s="20">
        <f>221230-199107</f>
        <v>22123</v>
      </c>
      <c r="P52" s="20">
        <v>0</v>
      </c>
      <c r="Q52" s="20">
        <v>0</v>
      </c>
      <c r="R52" s="20">
        <v>0</v>
      </c>
      <c r="S52" s="20">
        <v>0</v>
      </c>
      <c r="T52" s="20"/>
      <c r="U52" s="20">
        <f>221230-206481</f>
        <v>14749</v>
      </c>
      <c r="V52" s="20">
        <v>0</v>
      </c>
      <c r="W52" s="20">
        <v>0</v>
      </c>
      <c r="X52" s="20">
        <v>0</v>
      </c>
      <c r="Y52" s="20">
        <v>0</v>
      </c>
    </row>
    <row r="53" spans="1:25" ht="15">
      <c r="A53" s="22">
        <f t="shared" si="0"/>
        <v>37</v>
      </c>
      <c r="B53" s="44" t="s">
        <v>260</v>
      </c>
      <c r="C53" s="20">
        <f t="shared" si="3"/>
        <v>119593</v>
      </c>
      <c r="D53" s="20">
        <f t="shared" si="4"/>
        <v>87701</v>
      </c>
      <c r="E53" s="20"/>
      <c r="F53" s="20"/>
      <c r="G53" s="20">
        <f t="shared" si="5"/>
        <v>103647</v>
      </c>
      <c r="H53" s="20"/>
      <c r="I53" s="20">
        <f t="shared" si="8"/>
        <v>0</v>
      </c>
      <c r="J53" s="20">
        <f t="shared" si="8"/>
        <v>0</v>
      </c>
      <c r="K53" s="20">
        <f t="shared" si="8"/>
        <v>103647</v>
      </c>
      <c r="L53" s="20">
        <f t="shared" si="8"/>
        <v>0</v>
      </c>
      <c r="M53" s="20">
        <f t="shared" si="8"/>
        <v>0</v>
      </c>
      <c r="N53" s="20"/>
      <c r="O53" s="20">
        <v>0</v>
      </c>
      <c r="P53" s="20">
        <v>0</v>
      </c>
      <c r="Q53" s="20">
        <f>956739-837146</f>
        <v>119593</v>
      </c>
      <c r="R53" s="20">
        <v>0</v>
      </c>
      <c r="S53" s="20">
        <v>0</v>
      </c>
      <c r="T53" s="20"/>
      <c r="U53" s="20">
        <v>0</v>
      </c>
      <c r="V53" s="20">
        <v>0</v>
      </c>
      <c r="W53" s="20">
        <f>956739-869038</f>
        <v>87701</v>
      </c>
      <c r="X53" s="20">
        <v>0</v>
      </c>
      <c r="Y53" s="20">
        <v>0</v>
      </c>
    </row>
    <row r="54" spans="1:25" ht="15">
      <c r="A54" s="22">
        <f t="shared" si="0"/>
        <v>38</v>
      </c>
      <c r="B54" s="44" t="s">
        <v>261</v>
      </c>
      <c r="C54" s="20">
        <f t="shared" si="3"/>
        <v>24492</v>
      </c>
      <c r="D54" s="20">
        <f t="shared" si="4"/>
        <v>12246</v>
      </c>
      <c r="E54" s="20"/>
      <c r="F54" s="20"/>
      <c r="G54" s="20">
        <f t="shared" si="5"/>
        <v>18369</v>
      </c>
      <c r="H54" s="20"/>
      <c r="I54" s="20">
        <f t="shared" si="8"/>
        <v>18369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20">
        <f t="shared" si="8"/>
        <v>0</v>
      </c>
      <c r="N54" s="20"/>
      <c r="O54" s="20">
        <f>367387-342895</f>
        <v>24492</v>
      </c>
      <c r="P54" s="20">
        <v>0</v>
      </c>
      <c r="Q54" s="20">
        <v>0</v>
      </c>
      <c r="R54" s="20">
        <v>0</v>
      </c>
      <c r="S54" s="20">
        <v>0</v>
      </c>
      <c r="T54" s="20"/>
      <c r="U54" s="20">
        <f>367387-355141</f>
        <v>12246</v>
      </c>
      <c r="V54" s="20">
        <v>0</v>
      </c>
      <c r="W54" s="20">
        <v>0</v>
      </c>
      <c r="X54" s="20">
        <v>0</v>
      </c>
      <c r="Y54" s="20">
        <v>0</v>
      </c>
    </row>
    <row r="55" spans="1:25" ht="15">
      <c r="A55" s="22">
        <f t="shared" si="0"/>
        <v>39</v>
      </c>
      <c r="B55" s="44" t="s">
        <v>262</v>
      </c>
      <c r="C55" s="20">
        <f t="shared" si="3"/>
        <v>1380</v>
      </c>
      <c r="D55" s="20">
        <f t="shared" si="4"/>
        <v>1147</v>
      </c>
      <c r="E55" s="20"/>
      <c r="F55" s="20"/>
      <c r="G55" s="20">
        <f t="shared" si="5"/>
        <v>1264</v>
      </c>
      <c r="H55" s="20"/>
      <c r="I55" s="20">
        <f t="shared" si="8"/>
        <v>1263.5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</v>
      </c>
      <c r="N55" s="20"/>
      <c r="O55" s="20">
        <f>6763-5383</f>
        <v>1380</v>
      </c>
      <c r="P55" s="20">
        <v>0</v>
      </c>
      <c r="Q55" s="20">
        <v>0</v>
      </c>
      <c r="R55" s="20">
        <v>0</v>
      </c>
      <c r="S55" s="20">
        <v>0</v>
      </c>
      <c r="T55" s="20"/>
      <c r="U55" s="20">
        <f>6763-5616</f>
        <v>1147</v>
      </c>
      <c r="V55" s="20">
        <v>0</v>
      </c>
      <c r="W55" s="20">
        <v>0</v>
      </c>
      <c r="X55" s="20">
        <v>0</v>
      </c>
      <c r="Y55" s="20">
        <v>0</v>
      </c>
    </row>
    <row r="56" spans="1:25" ht="15">
      <c r="A56" s="22">
        <f t="shared" si="0"/>
        <v>40</v>
      </c>
      <c r="B56" s="44" t="s">
        <v>263</v>
      </c>
      <c r="C56" s="20">
        <f t="shared" si="3"/>
        <v>52363</v>
      </c>
      <c r="D56" s="20">
        <f t="shared" si="4"/>
        <v>26182</v>
      </c>
      <c r="E56" s="20"/>
      <c r="F56" s="20"/>
      <c r="G56" s="20">
        <f t="shared" si="5"/>
        <v>39273</v>
      </c>
      <c r="H56" s="20"/>
      <c r="I56" s="20">
        <f t="shared" si="8"/>
        <v>0</v>
      </c>
      <c r="J56" s="20">
        <f t="shared" si="8"/>
        <v>0</v>
      </c>
      <c r="K56" s="20">
        <f t="shared" si="8"/>
        <v>39272.5</v>
      </c>
      <c r="L56" s="20">
        <f t="shared" si="8"/>
        <v>0</v>
      </c>
      <c r="M56" s="20">
        <f t="shared" si="8"/>
        <v>0</v>
      </c>
      <c r="N56" s="20"/>
      <c r="O56" s="20">
        <v>0</v>
      </c>
      <c r="P56" s="20">
        <v>0</v>
      </c>
      <c r="Q56" s="20">
        <f>785450-733087</f>
        <v>52363</v>
      </c>
      <c r="R56" s="20">
        <v>0</v>
      </c>
      <c r="S56" s="20">
        <v>0</v>
      </c>
      <c r="T56" s="20"/>
      <c r="U56" s="20">
        <v>0</v>
      </c>
      <c r="V56" s="20">
        <v>0</v>
      </c>
      <c r="W56" s="20">
        <f>785450-759268</f>
        <v>26182</v>
      </c>
      <c r="X56" s="20">
        <v>0</v>
      </c>
      <c r="Y56" s="20">
        <v>0</v>
      </c>
    </row>
    <row r="57" spans="1:25" ht="15">
      <c r="A57" s="22">
        <f t="shared" si="0"/>
        <v>41</v>
      </c>
      <c r="B57" s="44" t="s">
        <v>264</v>
      </c>
      <c r="C57" s="20">
        <f t="shared" si="3"/>
        <v>5271.950000000012</v>
      </c>
      <c r="D57" s="20">
        <f t="shared" si="4"/>
        <v>262.95000000001164</v>
      </c>
      <c r="E57" s="20"/>
      <c r="F57" s="20"/>
      <c r="G57" s="20">
        <f t="shared" si="5"/>
        <v>2767</v>
      </c>
      <c r="H57" s="20"/>
      <c r="I57" s="20">
        <f t="shared" si="8"/>
        <v>595</v>
      </c>
      <c r="J57" s="20">
        <f t="shared" si="8"/>
        <v>5</v>
      </c>
      <c r="K57" s="20">
        <f t="shared" si="8"/>
        <v>1031</v>
      </c>
      <c r="L57" s="20">
        <f t="shared" si="8"/>
        <v>1136.4500000000116</v>
      </c>
      <c r="M57" s="20">
        <f t="shared" si="8"/>
        <v>0</v>
      </c>
      <c r="N57" s="20"/>
      <c r="O57" s="20">
        <f>208642-207508</f>
        <v>1134</v>
      </c>
      <c r="P57" s="20">
        <f>2179-2169</f>
        <v>10</v>
      </c>
      <c r="Q57" s="20">
        <f>361214-359250</f>
        <v>1964</v>
      </c>
      <c r="R57" s="20">
        <f>397906.95-395743</f>
        <v>2163.9500000000116</v>
      </c>
      <c r="S57" s="20">
        <v>0</v>
      </c>
      <c r="T57" s="20"/>
      <c r="U57" s="20">
        <f>208642-208586</f>
        <v>56</v>
      </c>
      <c r="V57" s="20">
        <f>2179-2179</f>
        <v>0</v>
      </c>
      <c r="W57" s="20">
        <f>361214-361116</f>
        <v>98</v>
      </c>
      <c r="X57" s="20">
        <f>397906.95-397798</f>
        <v>108.95000000001164</v>
      </c>
      <c r="Y57" s="20">
        <v>0</v>
      </c>
    </row>
    <row r="58" spans="1:25" ht="15">
      <c r="A58" s="22">
        <f t="shared" si="0"/>
        <v>42</v>
      </c>
      <c r="B58" s="19" t="s">
        <v>265</v>
      </c>
      <c r="C58" s="20">
        <f t="shared" si="3"/>
        <v>1337.9500000000007</v>
      </c>
      <c r="D58" s="20">
        <f t="shared" si="4"/>
        <v>980.9500000000007</v>
      </c>
      <c r="E58" s="20"/>
      <c r="F58" s="20"/>
      <c r="G58" s="20">
        <f t="shared" si="5"/>
        <v>1159</v>
      </c>
      <c r="H58" s="20"/>
      <c r="I58" s="20">
        <f t="shared" si="8"/>
        <v>0</v>
      </c>
      <c r="J58" s="20">
        <f t="shared" si="8"/>
        <v>0</v>
      </c>
      <c r="K58" s="20">
        <f t="shared" si="8"/>
        <v>1159.4500000000007</v>
      </c>
      <c r="L58" s="20">
        <f t="shared" si="8"/>
        <v>0</v>
      </c>
      <c r="M58" s="20">
        <f t="shared" si="8"/>
        <v>0</v>
      </c>
      <c r="N58" s="20"/>
      <c r="O58" s="20">
        <v>0</v>
      </c>
      <c r="P58" s="20">
        <v>0</v>
      </c>
      <c r="Q58" s="20">
        <f>10701.95-9364</f>
        <v>1337.9500000000007</v>
      </c>
      <c r="R58" s="20">
        <v>0</v>
      </c>
      <c r="S58" s="20">
        <v>0</v>
      </c>
      <c r="T58" s="20"/>
      <c r="U58" s="20">
        <v>0</v>
      </c>
      <c r="V58" s="20">
        <v>0</v>
      </c>
      <c r="W58" s="20">
        <f>10701.95-9721</f>
        <v>980.9500000000007</v>
      </c>
      <c r="X58" s="20">
        <v>0</v>
      </c>
      <c r="Y58" s="20">
        <v>0</v>
      </c>
    </row>
    <row r="59" spans="1:25" ht="15">
      <c r="A59" s="22">
        <f t="shared" si="0"/>
        <v>43</v>
      </c>
      <c r="B59" s="19" t="s">
        <v>266</v>
      </c>
      <c r="C59" s="20">
        <f t="shared" si="3"/>
        <v>1317</v>
      </c>
      <c r="D59" s="20">
        <f t="shared" si="4"/>
        <v>878</v>
      </c>
      <c r="E59" s="20"/>
      <c r="F59" s="20"/>
      <c r="G59" s="20">
        <f t="shared" si="5"/>
        <v>1098</v>
      </c>
      <c r="H59" s="20"/>
      <c r="I59" s="20">
        <f t="shared" si="8"/>
        <v>1097.5</v>
      </c>
      <c r="J59" s="20">
        <f t="shared" si="8"/>
        <v>0</v>
      </c>
      <c r="K59" s="20">
        <f t="shared" si="8"/>
        <v>0</v>
      </c>
      <c r="L59" s="20">
        <f t="shared" si="8"/>
        <v>0</v>
      </c>
      <c r="M59" s="20">
        <f t="shared" si="8"/>
        <v>0</v>
      </c>
      <c r="N59" s="20"/>
      <c r="O59" s="20">
        <f>13172-11855</f>
        <v>1317</v>
      </c>
      <c r="P59" s="20">
        <v>0</v>
      </c>
      <c r="Q59" s="20">
        <v>0</v>
      </c>
      <c r="R59" s="20">
        <v>0</v>
      </c>
      <c r="S59" s="20">
        <v>0</v>
      </c>
      <c r="T59" s="20"/>
      <c r="U59" s="20">
        <f>13172-12294</f>
        <v>878</v>
      </c>
      <c r="V59" s="20">
        <v>0</v>
      </c>
      <c r="W59" s="20">
        <v>0</v>
      </c>
      <c r="X59" s="20">
        <v>0</v>
      </c>
      <c r="Y59" s="20">
        <v>0</v>
      </c>
    </row>
    <row r="60" spans="1:25" ht="15">
      <c r="A60" s="22">
        <f t="shared" si="0"/>
        <v>44</v>
      </c>
      <c r="B60" s="19" t="s">
        <v>267</v>
      </c>
      <c r="C60" s="20">
        <f t="shared" si="3"/>
        <v>1729</v>
      </c>
      <c r="D60" s="20">
        <f t="shared" si="4"/>
        <v>864</v>
      </c>
      <c r="E60" s="20"/>
      <c r="F60" s="20"/>
      <c r="G60" s="20">
        <f t="shared" si="5"/>
        <v>1297</v>
      </c>
      <c r="H60" s="20"/>
      <c r="I60" s="20">
        <f t="shared" si="8"/>
        <v>1296.5</v>
      </c>
      <c r="J60" s="20">
        <f t="shared" si="8"/>
        <v>0</v>
      </c>
      <c r="K60" s="20">
        <f t="shared" si="8"/>
        <v>0</v>
      </c>
      <c r="L60" s="20">
        <f t="shared" si="8"/>
        <v>0</v>
      </c>
      <c r="M60" s="20">
        <f t="shared" si="8"/>
        <v>0</v>
      </c>
      <c r="N60" s="20"/>
      <c r="O60" s="20">
        <f>25934-24205</f>
        <v>1729</v>
      </c>
      <c r="P60" s="20">
        <v>0</v>
      </c>
      <c r="Q60" s="20">
        <v>0</v>
      </c>
      <c r="R60" s="20">
        <v>0</v>
      </c>
      <c r="S60" s="20">
        <v>0</v>
      </c>
      <c r="T60" s="20"/>
      <c r="U60" s="20">
        <f>25934-25070</f>
        <v>864</v>
      </c>
      <c r="V60" s="20">
        <v>0</v>
      </c>
      <c r="W60" s="20">
        <v>0</v>
      </c>
      <c r="X60" s="20">
        <v>0</v>
      </c>
      <c r="Y60" s="20">
        <v>0</v>
      </c>
    </row>
    <row r="61" spans="1:25" ht="15">
      <c r="A61" s="22">
        <f t="shared" si="0"/>
        <v>45</v>
      </c>
      <c r="B61" s="19" t="s">
        <v>268</v>
      </c>
      <c r="C61" s="20">
        <f t="shared" si="3"/>
        <v>1034</v>
      </c>
      <c r="D61" s="20">
        <f t="shared" si="4"/>
        <v>517</v>
      </c>
      <c r="E61" s="20"/>
      <c r="F61" s="20"/>
      <c r="G61" s="20">
        <f t="shared" si="5"/>
        <v>776</v>
      </c>
      <c r="H61" s="20"/>
      <c r="I61" s="20">
        <f t="shared" si="8"/>
        <v>0</v>
      </c>
      <c r="J61" s="20">
        <f t="shared" si="8"/>
        <v>0</v>
      </c>
      <c r="K61" s="20">
        <f t="shared" si="8"/>
        <v>775.5</v>
      </c>
      <c r="L61" s="20">
        <f t="shared" si="8"/>
        <v>0</v>
      </c>
      <c r="M61" s="20">
        <f t="shared" si="8"/>
        <v>0</v>
      </c>
      <c r="N61" s="20"/>
      <c r="O61" s="20">
        <v>0</v>
      </c>
      <c r="P61" s="20">
        <v>0</v>
      </c>
      <c r="Q61" s="20">
        <f>15517-14483</f>
        <v>1034</v>
      </c>
      <c r="R61" s="20">
        <v>0</v>
      </c>
      <c r="S61" s="20">
        <v>0</v>
      </c>
      <c r="T61" s="20"/>
      <c r="U61" s="20">
        <v>0</v>
      </c>
      <c r="V61" s="20">
        <v>0</v>
      </c>
      <c r="W61" s="20">
        <f>15517-15000</f>
        <v>517</v>
      </c>
      <c r="X61" s="20">
        <v>0</v>
      </c>
      <c r="Y61" s="20">
        <v>0</v>
      </c>
    </row>
    <row r="62" spans="1:25" ht="15">
      <c r="A62" s="22">
        <f t="shared" si="0"/>
        <v>46</v>
      </c>
      <c r="B62" s="10" t="s">
        <v>56</v>
      </c>
      <c r="C62" s="20">
        <f t="shared" si="3"/>
        <v>3229.6</v>
      </c>
      <c r="D62" s="20">
        <f t="shared" si="4"/>
        <v>28.849999999999994</v>
      </c>
      <c r="E62" s="20"/>
      <c r="F62" s="20"/>
      <c r="G62" s="20">
        <f t="shared" si="5"/>
        <v>1629</v>
      </c>
      <c r="H62" s="20"/>
      <c r="I62" s="20">
        <f t="shared" si="8"/>
        <v>521.9499999999999</v>
      </c>
      <c r="J62" s="20">
        <f t="shared" si="8"/>
        <v>-6.375</v>
      </c>
      <c r="K62" s="20">
        <f t="shared" si="8"/>
        <v>562.95</v>
      </c>
      <c r="L62" s="20">
        <f t="shared" si="8"/>
        <v>550.7</v>
      </c>
      <c r="M62" s="20">
        <f t="shared" si="8"/>
        <v>0</v>
      </c>
      <c r="N62" s="20"/>
      <c r="O62" s="20">
        <v>860.05</v>
      </c>
      <c r="P62" s="20">
        <v>-2.35</v>
      </c>
      <c r="Q62" s="20">
        <v>1160.4</v>
      </c>
      <c r="R62" s="20">
        <v>1211.5</v>
      </c>
      <c r="S62" s="20">
        <v>0</v>
      </c>
      <c r="T62" s="20"/>
      <c r="U62" s="20">
        <v>183.85</v>
      </c>
      <c r="V62" s="20">
        <v>-10.4</v>
      </c>
      <c r="W62" s="20">
        <v>-34.5</v>
      </c>
      <c r="X62" s="20">
        <v>-110.1</v>
      </c>
      <c r="Y62" s="20">
        <v>0</v>
      </c>
    </row>
    <row r="63" spans="1:25" ht="15">
      <c r="A63" s="22">
        <f t="shared" si="0"/>
        <v>47</v>
      </c>
      <c r="B63" s="19" t="s">
        <v>269</v>
      </c>
      <c r="C63" s="20">
        <f t="shared" si="3"/>
        <v>11306.850000000006</v>
      </c>
      <c r="D63" s="20">
        <f t="shared" si="4"/>
        <v>5688.850000000006</v>
      </c>
      <c r="E63" s="20"/>
      <c r="F63" s="20"/>
      <c r="G63" s="20">
        <f t="shared" si="5"/>
        <v>8498</v>
      </c>
      <c r="H63" s="20"/>
      <c r="I63" s="20">
        <f t="shared" si="8"/>
        <v>1829</v>
      </c>
      <c r="J63" s="20">
        <f t="shared" si="8"/>
        <v>15.5</v>
      </c>
      <c r="K63" s="20">
        <f t="shared" si="8"/>
        <v>3166</v>
      </c>
      <c r="L63" s="20">
        <f t="shared" si="8"/>
        <v>3487.350000000006</v>
      </c>
      <c r="M63" s="20">
        <f t="shared" si="8"/>
        <v>0</v>
      </c>
      <c r="N63" s="20"/>
      <c r="O63" s="20">
        <f>92190-89758</f>
        <v>2432</v>
      </c>
      <c r="P63" s="20">
        <f>370-343</f>
        <v>27</v>
      </c>
      <c r="Q63" s="20">
        <f>159607-155397</f>
        <v>4210</v>
      </c>
      <c r="R63" s="20">
        <f>175822.85-171185</f>
        <v>4637.850000000006</v>
      </c>
      <c r="S63" s="20">
        <v>0</v>
      </c>
      <c r="T63" s="20"/>
      <c r="U63" s="20">
        <f>92190-90964</f>
        <v>1226</v>
      </c>
      <c r="V63" s="20">
        <f>370-366</f>
        <v>4</v>
      </c>
      <c r="W63" s="20">
        <f>159607-157485</f>
        <v>2122</v>
      </c>
      <c r="X63" s="20">
        <f>175822.85-173486</f>
        <v>2336.850000000006</v>
      </c>
      <c r="Y63" s="20">
        <v>0</v>
      </c>
    </row>
    <row r="64" spans="1:25" ht="15">
      <c r="A64" s="22">
        <f t="shared" si="0"/>
        <v>48</v>
      </c>
      <c r="B64" s="19" t="s">
        <v>270</v>
      </c>
      <c r="C64" s="20">
        <f t="shared" si="3"/>
        <v>755</v>
      </c>
      <c r="D64" s="20">
        <f t="shared" si="4"/>
        <v>553</v>
      </c>
      <c r="E64" s="20"/>
      <c r="F64" s="20"/>
      <c r="G64" s="20">
        <f t="shared" si="5"/>
        <v>654</v>
      </c>
      <c r="H64" s="20"/>
      <c r="I64" s="20">
        <f t="shared" si="8"/>
        <v>0</v>
      </c>
      <c r="J64" s="20">
        <f t="shared" si="8"/>
        <v>0</v>
      </c>
      <c r="K64" s="20">
        <f t="shared" si="8"/>
        <v>654</v>
      </c>
      <c r="L64" s="20">
        <f t="shared" si="8"/>
        <v>0</v>
      </c>
      <c r="M64" s="20">
        <f t="shared" si="8"/>
        <v>0</v>
      </c>
      <c r="N64" s="20"/>
      <c r="O64" s="20">
        <v>0</v>
      </c>
      <c r="P64" s="20">
        <v>0</v>
      </c>
      <c r="Q64" s="20">
        <f>6042-5287</f>
        <v>755</v>
      </c>
      <c r="R64" s="20">
        <v>0</v>
      </c>
      <c r="S64" s="20">
        <v>0</v>
      </c>
      <c r="T64" s="20"/>
      <c r="U64" s="20">
        <v>0</v>
      </c>
      <c r="V64" s="20">
        <v>0</v>
      </c>
      <c r="W64" s="20">
        <f>6042-5489</f>
        <v>553</v>
      </c>
      <c r="X64" s="20">
        <v>0</v>
      </c>
      <c r="Y64" s="20">
        <v>0</v>
      </c>
    </row>
    <row r="65" spans="1:25" ht="15">
      <c r="A65" s="22">
        <f t="shared" si="0"/>
        <v>49</v>
      </c>
      <c r="B65" s="19" t="s">
        <v>271</v>
      </c>
      <c r="C65" s="20">
        <f t="shared" si="3"/>
        <v>2200</v>
      </c>
      <c r="D65" s="20">
        <f t="shared" si="4"/>
        <v>1467</v>
      </c>
      <c r="E65" s="20"/>
      <c r="F65" s="20"/>
      <c r="G65" s="20">
        <f t="shared" si="5"/>
        <v>1834</v>
      </c>
      <c r="H65" s="20"/>
      <c r="I65" s="20">
        <f t="shared" si="8"/>
        <v>1833.5</v>
      </c>
      <c r="J65" s="20">
        <f t="shared" si="8"/>
        <v>0</v>
      </c>
      <c r="K65" s="20">
        <f t="shared" si="8"/>
        <v>0</v>
      </c>
      <c r="L65" s="20">
        <f t="shared" si="8"/>
        <v>0</v>
      </c>
      <c r="M65" s="20">
        <f t="shared" si="8"/>
        <v>0</v>
      </c>
      <c r="N65" s="20"/>
      <c r="O65" s="20">
        <f>22000-19800</f>
        <v>2200</v>
      </c>
      <c r="P65" s="20">
        <v>0</v>
      </c>
      <c r="Q65" s="20">
        <v>0</v>
      </c>
      <c r="R65" s="20">
        <v>0</v>
      </c>
      <c r="S65" s="20">
        <v>0</v>
      </c>
      <c r="T65" s="20"/>
      <c r="U65" s="20">
        <f>22000-20533</f>
        <v>1467</v>
      </c>
      <c r="V65" s="20">
        <v>0</v>
      </c>
      <c r="W65" s="20">
        <v>0</v>
      </c>
      <c r="X65" s="20">
        <v>0</v>
      </c>
      <c r="Y65" s="20">
        <v>0</v>
      </c>
    </row>
    <row r="66" spans="1:25" ht="15">
      <c r="A66" s="22">
        <f t="shared" si="0"/>
        <v>50</v>
      </c>
      <c r="B66" s="19" t="s">
        <v>272</v>
      </c>
      <c r="C66" s="20">
        <f t="shared" si="3"/>
        <v>571</v>
      </c>
      <c r="D66" s="20">
        <f t="shared" si="4"/>
        <v>286</v>
      </c>
      <c r="E66" s="20"/>
      <c r="F66" s="20"/>
      <c r="G66" s="20">
        <f t="shared" si="5"/>
        <v>429</v>
      </c>
      <c r="H66" s="20"/>
      <c r="I66" s="20">
        <f t="shared" si="8"/>
        <v>428.5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/>
      <c r="O66" s="20">
        <f>8572-8001</f>
        <v>571</v>
      </c>
      <c r="P66" s="20">
        <v>0</v>
      </c>
      <c r="Q66" s="20">
        <v>0</v>
      </c>
      <c r="R66" s="20">
        <v>0</v>
      </c>
      <c r="S66" s="20">
        <v>0</v>
      </c>
      <c r="T66" s="20"/>
      <c r="U66" s="20">
        <f>8572-8286</f>
        <v>286</v>
      </c>
      <c r="V66" s="20">
        <v>0</v>
      </c>
      <c r="W66" s="20">
        <v>0</v>
      </c>
      <c r="X66" s="20">
        <v>0</v>
      </c>
      <c r="Y66" s="20">
        <v>0</v>
      </c>
    </row>
    <row r="67" spans="1:25" ht="15">
      <c r="A67" s="22">
        <f t="shared" si="0"/>
        <v>51</v>
      </c>
      <c r="B67" s="19" t="s">
        <v>273</v>
      </c>
      <c r="C67" s="20">
        <f t="shared" si="3"/>
        <v>405</v>
      </c>
      <c r="D67" s="20">
        <f t="shared" si="4"/>
        <v>202</v>
      </c>
      <c r="E67" s="20"/>
      <c r="F67" s="20"/>
      <c r="G67" s="20">
        <f t="shared" si="5"/>
        <v>304</v>
      </c>
      <c r="H67" s="20"/>
      <c r="I67" s="20">
        <f t="shared" si="8"/>
        <v>0</v>
      </c>
      <c r="J67" s="20">
        <f t="shared" si="8"/>
        <v>0</v>
      </c>
      <c r="K67" s="20">
        <f t="shared" si="8"/>
        <v>303.5</v>
      </c>
      <c r="L67" s="20">
        <f t="shared" si="8"/>
        <v>0</v>
      </c>
      <c r="M67" s="20">
        <f t="shared" si="8"/>
        <v>0</v>
      </c>
      <c r="N67" s="20"/>
      <c r="O67" s="20">
        <v>0</v>
      </c>
      <c r="P67" s="20">
        <v>0</v>
      </c>
      <c r="Q67" s="20">
        <f>6069-5664</f>
        <v>405</v>
      </c>
      <c r="R67" s="20">
        <v>0</v>
      </c>
      <c r="S67" s="20">
        <v>0</v>
      </c>
      <c r="T67" s="20"/>
      <c r="U67" s="20">
        <v>0</v>
      </c>
      <c r="V67" s="20">
        <v>0</v>
      </c>
      <c r="W67" s="20">
        <f>6069-5867</f>
        <v>202</v>
      </c>
      <c r="X67" s="20">
        <v>0</v>
      </c>
      <c r="Y67" s="20">
        <v>0</v>
      </c>
    </row>
    <row r="68" spans="1:25" ht="15">
      <c r="A68" s="22">
        <f t="shared" si="0"/>
        <v>52</v>
      </c>
      <c r="B68" s="19" t="s">
        <v>274</v>
      </c>
      <c r="C68" s="20">
        <f t="shared" si="3"/>
        <v>-305354</v>
      </c>
      <c r="D68" s="20">
        <f t="shared" si="4"/>
        <v>-183145.55</v>
      </c>
      <c r="E68" s="20"/>
      <c r="F68" s="20"/>
      <c r="G68" s="20">
        <f t="shared" si="5"/>
        <v>-244250</v>
      </c>
      <c r="H68" s="20"/>
      <c r="I68" s="20">
        <f t="shared" si="8"/>
        <v>0</v>
      </c>
      <c r="J68" s="20">
        <f t="shared" si="8"/>
        <v>0</v>
      </c>
      <c r="K68" s="20">
        <f t="shared" si="8"/>
        <v>-244249.775</v>
      </c>
      <c r="L68" s="20">
        <f t="shared" si="8"/>
        <v>0</v>
      </c>
      <c r="M68" s="20">
        <f t="shared" si="8"/>
        <v>0</v>
      </c>
      <c r="N68" s="20"/>
      <c r="O68" s="20">
        <v>0</v>
      </c>
      <c r="P68" s="20">
        <v>0</v>
      </c>
      <c r="Q68" s="20">
        <v>-305354</v>
      </c>
      <c r="R68" s="20">
        <v>0</v>
      </c>
      <c r="S68" s="20">
        <v>0</v>
      </c>
      <c r="T68" s="20"/>
      <c r="U68" s="20">
        <v>0</v>
      </c>
      <c r="V68" s="20">
        <v>0</v>
      </c>
      <c r="W68" s="20">
        <v>-183145.55</v>
      </c>
      <c r="X68" s="20">
        <v>0</v>
      </c>
      <c r="Y68" s="20">
        <v>0</v>
      </c>
    </row>
    <row r="69" spans="1:25" ht="15">
      <c r="A69" s="22">
        <f t="shared" si="0"/>
        <v>53</v>
      </c>
      <c r="B69" s="10" t="s">
        <v>275</v>
      </c>
      <c r="C69" s="20">
        <f t="shared" si="3"/>
        <v>87302</v>
      </c>
      <c r="D69" s="20">
        <f t="shared" si="4"/>
        <v>73871</v>
      </c>
      <c r="E69" s="20"/>
      <c r="F69" s="20"/>
      <c r="G69" s="20">
        <f t="shared" si="5"/>
        <v>80587</v>
      </c>
      <c r="H69" s="20"/>
      <c r="I69" s="20">
        <f t="shared" si="8"/>
        <v>80586.5</v>
      </c>
      <c r="J69" s="20">
        <f t="shared" si="8"/>
        <v>0</v>
      </c>
      <c r="K69" s="20">
        <f t="shared" si="8"/>
        <v>0</v>
      </c>
      <c r="L69" s="20">
        <f t="shared" si="8"/>
        <v>0</v>
      </c>
      <c r="M69" s="20">
        <f t="shared" si="8"/>
        <v>0</v>
      </c>
      <c r="N69" s="20"/>
      <c r="O69" s="20">
        <f>402933-315631</f>
        <v>87302</v>
      </c>
      <c r="P69" s="20">
        <v>0</v>
      </c>
      <c r="Q69" s="20">
        <v>0</v>
      </c>
      <c r="R69" s="20">
        <v>0</v>
      </c>
      <c r="S69" s="20">
        <v>0</v>
      </c>
      <c r="T69" s="20"/>
      <c r="U69" s="20">
        <f>402933-329062</f>
        <v>73871</v>
      </c>
      <c r="V69" s="20">
        <v>0</v>
      </c>
      <c r="W69" s="20">
        <v>0</v>
      </c>
      <c r="X69" s="20">
        <v>0</v>
      </c>
      <c r="Y69" s="20">
        <v>0</v>
      </c>
    </row>
    <row r="70" spans="1:25" ht="15">
      <c r="A70" s="22">
        <f t="shared" si="0"/>
        <v>54</v>
      </c>
      <c r="B70" s="10" t="s">
        <v>58</v>
      </c>
      <c r="C70" s="20">
        <f t="shared" si="3"/>
        <v>21183848.6</v>
      </c>
      <c r="D70" s="20">
        <f t="shared" si="4"/>
        <v>19584204.6</v>
      </c>
      <c r="E70" s="20"/>
      <c r="F70" s="20"/>
      <c r="G70" s="20">
        <f t="shared" si="5"/>
        <v>20384027</v>
      </c>
      <c r="H70" s="20"/>
      <c r="I70" s="20">
        <f t="shared" si="8"/>
        <v>6017313.6</v>
      </c>
      <c r="J70" s="20">
        <f t="shared" si="8"/>
        <v>706719</v>
      </c>
      <c r="K70" s="20">
        <f t="shared" si="8"/>
        <v>2648004.75</v>
      </c>
      <c r="L70" s="20">
        <f t="shared" si="8"/>
        <v>11011989.25</v>
      </c>
      <c r="M70" s="20">
        <f t="shared" si="8"/>
        <v>0</v>
      </c>
      <c r="N70" s="20"/>
      <c r="O70" s="20">
        <f>13321272.1-7118288</f>
        <v>6202984.1</v>
      </c>
      <c r="P70" s="20">
        <f>4477738-3719565</f>
        <v>758173</v>
      </c>
      <c r="Q70" s="20">
        <f>11940902.75-9148323</f>
        <v>2792579.75</v>
      </c>
      <c r="R70" s="20">
        <f>31934764.75-20504653</f>
        <v>11430111.75</v>
      </c>
      <c r="S70" s="20">
        <v>0</v>
      </c>
      <c r="T70" s="20"/>
      <c r="U70" s="20">
        <f>13321272.1-7489629</f>
        <v>5831643.1</v>
      </c>
      <c r="V70" s="20">
        <f>4477738-3822473</f>
        <v>655265</v>
      </c>
      <c r="W70" s="20">
        <f>11940902.75-9437473</f>
        <v>2503429.75</v>
      </c>
      <c r="X70" s="20">
        <f>31934764.75-21340898</f>
        <v>10593866.75</v>
      </c>
      <c r="Y70" s="20">
        <v>0</v>
      </c>
    </row>
    <row r="71" spans="1:25" ht="15">
      <c r="A71" s="22">
        <f t="shared" si="0"/>
        <v>55</v>
      </c>
      <c r="B71" s="19" t="s">
        <v>59</v>
      </c>
      <c r="C71" s="20">
        <f>SUM(O71:S71)</f>
        <v>59019840.25</v>
      </c>
      <c r="D71" s="20">
        <f>SUM(U71:Y71)</f>
        <v>83881856.80000001</v>
      </c>
      <c r="E71" s="20"/>
      <c r="F71" s="20"/>
      <c r="G71" s="20">
        <f>ROUND(SUM(C71:F71)/2,0)</f>
        <v>71450849</v>
      </c>
      <c r="H71" s="20"/>
      <c r="I71" s="20">
        <f t="shared" si="8"/>
        <v>32854912.3</v>
      </c>
      <c r="J71" s="20">
        <f t="shared" si="8"/>
        <v>38595936.225</v>
      </c>
      <c r="K71" s="20">
        <f t="shared" si="8"/>
        <v>0</v>
      </c>
      <c r="L71" s="20">
        <f t="shared" si="8"/>
        <v>0</v>
      </c>
      <c r="M71" s="20">
        <f t="shared" si="8"/>
        <v>0</v>
      </c>
      <c r="N71" s="20"/>
      <c r="O71" s="20">
        <v>28206083.15</v>
      </c>
      <c r="P71" s="20">
        <v>30813757.1</v>
      </c>
      <c r="Q71" s="20">
        <v>0</v>
      </c>
      <c r="R71" s="20">
        <v>0</v>
      </c>
      <c r="S71" s="20">
        <v>0</v>
      </c>
      <c r="T71" s="20"/>
      <c r="U71" s="20">
        <v>37503741.45</v>
      </c>
      <c r="V71" s="20">
        <v>46378115.35</v>
      </c>
      <c r="W71" s="20">
        <v>0</v>
      </c>
      <c r="X71" s="20">
        <v>0</v>
      </c>
      <c r="Y71" s="20">
        <v>0</v>
      </c>
    </row>
    <row r="72" spans="1:25" ht="15">
      <c r="A72" s="22">
        <f t="shared" si="0"/>
        <v>56</v>
      </c>
      <c r="B72" s="19" t="s">
        <v>60</v>
      </c>
      <c r="C72" s="20">
        <f>SUM(O72:S72)</f>
        <v>82031327</v>
      </c>
      <c r="D72" s="20">
        <f>SUM(U72:Y72)</f>
        <v>80265168.55</v>
      </c>
      <c r="E72" s="20"/>
      <c r="F72" s="20"/>
      <c r="G72" s="20">
        <f>ROUND(SUM(C72:F72)/2,0)</f>
        <v>81148248</v>
      </c>
      <c r="H72" s="20"/>
      <c r="I72" s="20">
        <f t="shared" si="8"/>
        <v>29390867.275</v>
      </c>
      <c r="J72" s="20">
        <f t="shared" si="8"/>
        <v>51757380.5</v>
      </c>
      <c r="K72" s="20">
        <f t="shared" si="8"/>
        <v>0</v>
      </c>
      <c r="L72" s="20">
        <f t="shared" si="8"/>
        <v>0</v>
      </c>
      <c r="M72" s="20">
        <f t="shared" si="8"/>
        <v>0</v>
      </c>
      <c r="N72" s="20"/>
      <c r="O72" s="20">
        <v>29845320.4</v>
      </c>
      <c r="P72" s="20">
        <v>52186006.6</v>
      </c>
      <c r="Q72" s="20">
        <v>0</v>
      </c>
      <c r="R72" s="20">
        <v>0</v>
      </c>
      <c r="S72" s="20">
        <v>0</v>
      </c>
      <c r="T72" s="20"/>
      <c r="U72" s="20">
        <v>28936414.15</v>
      </c>
      <c r="V72" s="20">
        <v>51328754.4</v>
      </c>
      <c r="W72" s="20">
        <v>0</v>
      </c>
      <c r="X72" s="20">
        <v>0</v>
      </c>
      <c r="Y72" s="20">
        <v>0</v>
      </c>
    </row>
    <row r="73" spans="1:25" ht="15">
      <c r="A73" s="22">
        <f t="shared" si="0"/>
        <v>57</v>
      </c>
      <c r="B73" s="19" t="s">
        <v>61</v>
      </c>
      <c r="C73" s="20">
        <f>SUM(O73:S73)</f>
        <v>8498205.75</v>
      </c>
      <c r="D73" s="20">
        <f>SUM(U73:Y73)</f>
        <v>9378445.35</v>
      </c>
      <c r="E73" s="20"/>
      <c r="F73" s="20"/>
      <c r="G73" s="20">
        <f>ROUND(SUM(C73:F73)/2,0)</f>
        <v>8938326</v>
      </c>
      <c r="H73" s="20"/>
      <c r="I73" s="20">
        <f t="shared" si="8"/>
        <v>0</v>
      </c>
      <c r="J73" s="20">
        <f t="shared" si="8"/>
        <v>0</v>
      </c>
      <c r="K73" s="20">
        <f t="shared" si="8"/>
        <v>927514.7250000001</v>
      </c>
      <c r="L73" s="20">
        <f t="shared" si="8"/>
        <v>8010810.825</v>
      </c>
      <c r="M73" s="20">
        <f t="shared" si="8"/>
        <v>0</v>
      </c>
      <c r="N73" s="20"/>
      <c r="O73" s="20">
        <v>0</v>
      </c>
      <c r="P73" s="20">
        <v>0</v>
      </c>
      <c r="Q73" s="20">
        <f>1117161.85-228520</f>
        <v>888641.8500000001</v>
      </c>
      <c r="R73" s="20">
        <f>8878300.9-1268737</f>
        <v>7609563.9</v>
      </c>
      <c r="S73" s="20">
        <v>0</v>
      </c>
      <c r="T73" s="20"/>
      <c r="U73" s="20">
        <v>0</v>
      </c>
      <c r="V73" s="20">
        <v>0</v>
      </c>
      <c r="W73" s="20">
        <f>1236968.6-270581</f>
        <v>966387.6000000001</v>
      </c>
      <c r="X73" s="20">
        <f>10009987.75-1597930</f>
        <v>8412057.75</v>
      </c>
      <c r="Y73" s="20">
        <v>0</v>
      </c>
    </row>
    <row r="74" spans="1:25" ht="15">
      <c r="A74" s="22">
        <f t="shared" si="0"/>
        <v>58</v>
      </c>
      <c r="B74" s="10" t="s">
        <v>276</v>
      </c>
      <c r="C74" s="20">
        <f t="shared" si="3"/>
        <v>381115</v>
      </c>
      <c r="D74" s="20">
        <f t="shared" si="4"/>
        <v>381115</v>
      </c>
      <c r="E74" s="20"/>
      <c r="F74" s="20"/>
      <c r="G74" s="20">
        <f t="shared" si="5"/>
        <v>381115</v>
      </c>
      <c r="H74" s="20"/>
      <c r="I74" s="20">
        <f t="shared" si="8"/>
        <v>381115</v>
      </c>
      <c r="J74" s="20">
        <f t="shared" si="8"/>
        <v>0</v>
      </c>
      <c r="K74" s="20">
        <f t="shared" si="8"/>
        <v>0</v>
      </c>
      <c r="L74" s="20">
        <f t="shared" si="8"/>
        <v>0</v>
      </c>
      <c r="M74" s="20">
        <f t="shared" si="8"/>
        <v>0</v>
      </c>
      <c r="N74" s="20"/>
      <c r="O74" s="20">
        <v>381115</v>
      </c>
      <c r="P74" s="20">
        <v>0</v>
      </c>
      <c r="Q74" s="20">
        <v>0</v>
      </c>
      <c r="R74" s="20">
        <v>0</v>
      </c>
      <c r="S74" s="20">
        <v>0</v>
      </c>
      <c r="T74" s="20"/>
      <c r="U74" s="20">
        <v>381115</v>
      </c>
      <c r="V74" s="20">
        <v>0</v>
      </c>
      <c r="W74" s="20">
        <v>0</v>
      </c>
      <c r="X74" s="20">
        <v>0</v>
      </c>
      <c r="Y74" s="20">
        <v>0</v>
      </c>
    </row>
    <row r="75" spans="1:25" ht="15">
      <c r="A75" s="22">
        <f t="shared" si="0"/>
        <v>59</v>
      </c>
      <c r="B75" s="10" t="s">
        <v>277</v>
      </c>
      <c r="C75" s="20">
        <f t="shared" si="3"/>
        <v>31632</v>
      </c>
      <c r="D75" s="20">
        <f t="shared" si="4"/>
        <v>31632</v>
      </c>
      <c r="E75" s="20"/>
      <c r="F75" s="20"/>
      <c r="G75" s="20">
        <f t="shared" si="5"/>
        <v>31632</v>
      </c>
      <c r="H75" s="20"/>
      <c r="I75" s="20">
        <f t="shared" si="8"/>
        <v>31632</v>
      </c>
      <c r="J75" s="20">
        <f t="shared" si="8"/>
        <v>0</v>
      </c>
      <c r="K75" s="20">
        <f t="shared" si="8"/>
        <v>0</v>
      </c>
      <c r="L75" s="20">
        <f t="shared" si="8"/>
        <v>0</v>
      </c>
      <c r="M75" s="20">
        <f t="shared" si="8"/>
        <v>0</v>
      </c>
      <c r="N75" s="20"/>
      <c r="O75" s="20">
        <v>31632</v>
      </c>
      <c r="P75" s="20">
        <v>0</v>
      </c>
      <c r="Q75" s="20">
        <v>0</v>
      </c>
      <c r="R75" s="20">
        <v>0</v>
      </c>
      <c r="S75" s="20">
        <v>0</v>
      </c>
      <c r="T75" s="20"/>
      <c r="U75" s="20">
        <v>31632</v>
      </c>
      <c r="V75" s="20">
        <v>0</v>
      </c>
      <c r="W75" s="20">
        <v>0</v>
      </c>
      <c r="X75" s="20">
        <v>0</v>
      </c>
      <c r="Y75" s="20">
        <v>0</v>
      </c>
    </row>
    <row r="76" spans="1:25" ht="15">
      <c r="A76" s="22">
        <f t="shared" si="0"/>
        <v>60</v>
      </c>
      <c r="B76" s="19" t="s">
        <v>65</v>
      </c>
      <c r="C76" s="20">
        <f>SUM(O76:S76)</f>
        <v>273038.44999999995</v>
      </c>
      <c r="D76" s="20">
        <f>SUM(U76:Y76)</f>
        <v>273038.44999999995</v>
      </c>
      <c r="E76" s="20"/>
      <c r="F76" s="20"/>
      <c r="G76" s="20">
        <f>ROUND(SUM(C76:F76)/2,0)</f>
        <v>273038</v>
      </c>
      <c r="H76" s="20"/>
      <c r="I76" s="20">
        <f>(+O76+U76)/2</f>
        <v>22247</v>
      </c>
      <c r="J76" s="20">
        <f>(+P76+V76)/2</f>
        <v>140158.9</v>
      </c>
      <c r="K76" s="20">
        <f>(+Q76+W76)/2</f>
        <v>1345.4</v>
      </c>
      <c r="L76" s="20">
        <f>(+R76+X76)/2</f>
        <v>109287.15</v>
      </c>
      <c r="M76" s="20">
        <f>(+S76+Y76)/2</f>
        <v>0</v>
      </c>
      <c r="N76" s="20"/>
      <c r="O76" s="20">
        <v>22247</v>
      </c>
      <c r="P76" s="20">
        <v>140158.9</v>
      </c>
      <c r="Q76" s="20">
        <v>1345.4</v>
      </c>
      <c r="R76" s="20">
        <v>109287.15</v>
      </c>
      <c r="S76" s="20">
        <v>0</v>
      </c>
      <c r="T76" s="20"/>
      <c r="U76" s="20">
        <v>22247</v>
      </c>
      <c r="V76" s="20">
        <v>140158.9</v>
      </c>
      <c r="W76" s="20">
        <v>1345.4</v>
      </c>
      <c r="X76" s="20">
        <v>109287.15</v>
      </c>
      <c r="Y76" s="20">
        <v>0</v>
      </c>
    </row>
    <row r="77" spans="1:25" ht="15">
      <c r="A77" s="22">
        <f t="shared" si="0"/>
        <v>61</v>
      </c>
      <c r="B77" s="10" t="s">
        <v>278</v>
      </c>
      <c r="C77" s="20">
        <f t="shared" si="3"/>
        <v>16737.24000000005</v>
      </c>
      <c r="D77" s="20">
        <f t="shared" si="4"/>
        <v>6778.240000000049</v>
      </c>
      <c r="E77" s="20"/>
      <c r="F77" s="20"/>
      <c r="G77" s="20">
        <f t="shared" si="5"/>
        <v>11758</v>
      </c>
      <c r="H77" s="20"/>
      <c r="I77" s="20">
        <f t="shared" si="8"/>
        <v>2529</v>
      </c>
      <c r="J77" s="20">
        <f t="shared" si="8"/>
        <v>28</v>
      </c>
      <c r="K77" s="20">
        <f t="shared" si="8"/>
        <v>4378.150000000023</v>
      </c>
      <c r="L77" s="20">
        <f t="shared" si="8"/>
        <v>4822.590000000026</v>
      </c>
      <c r="M77" s="20">
        <f t="shared" si="8"/>
        <v>0</v>
      </c>
      <c r="N77" s="20"/>
      <c r="O77" s="20">
        <f>232234-228634</f>
        <v>3600</v>
      </c>
      <c r="P77" s="20">
        <f>1751-1711</f>
        <v>40</v>
      </c>
      <c r="Q77" s="20">
        <f>402062.15-395830</f>
        <v>6232.150000000023</v>
      </c>
      <c r="R77" s="20">
        <f>442899.09-436034</f>
        <v>6865.090000000026</v>
      </c>
      <c r="S77" s="20">
        <v>0</v>
      </c>
      <c r="T77" s="20"/>
      <c r="U77" s="20">
        <f>232234-230776</f>
        <v>1458</v>
      </c>
      <c r="V77" s="20">
        <f>1751-1735</f>
        <v>16</v>
      </c>
      <c r="W77" s="20">
        <f>402062.15-399538</f>
        <v>2524.1500000000233</v>
      </c>
      <c r="X77" s="20">
        <f>442899.09-440119</f>
        <v>2780.0900000000256</v>
      </c>
      <c r="Y77" s="20">
        <v>0</v>
      </c>
    </row>
    <row r="78" spans="1:25" ht="15">
      <c r="A78" s="22">
        <f t="shared" si="0"/>
        <v>62</v>
      </c>
      <c r="B78" s="10" t="s">
        <v>279</v>
      </c>
      <c r="C78" s="20">
        <f t="shared" si="3"/>
        <v>112474</v>
      </c>
      <c r="D78" s="20">
        <f t="shared" si="4"/>
        <v>0</v>
      </c>
      <c r="E78" s="20"/>
      <c r="F78" s="20"/>
      <c r="G78" s="20">
        <f t="shared" si="5"/>
        <v>56237</v>
      </c>
      <c r="H78" s="20"/>
      <c r="I78" s="20">
        <f t="shared" si="8"/>
        <v>0</v>
      </c>
      <c r="J78" s="20">
        <f t="shared" si="8"/>
        <v>56237</v>
      </c>
      <c r="K78" s="20">
        <f t="shared" si="8"/>
        <v>0</v>
      </c>
      <c r="L78" s="20">
        <f t="shared" si="8"/>
        <v>0</v>
      </c>
      <c r="M78" s="20">
        <f t="shared" si="8"/>
        <v>0</v>
      </c>
      <c r="N78" s="20"/>
      <c r="O78" s="20">
        <v>0</v>
      </c>
      <c r="P78" s="20">
        <f>2811861-2699387</f>
        <v>112474</v>
      </c>
      <c r="Q78" s="20">
        <v>0</v>
      </c>
      <c r="R78" s="20">
        <v>0</v>
      </c>
      <c r="S78" s="20">
        <v>0</v>
      </c>
      <c r="T78" s="20"/>
      <c r="U78" s="20">
        <v>0</v>
      </c>
      <c r="V78" s="20">
        <f>2811861-2811861</f>
        <v>0</v>
      </c>
      <c r="W78" s="20">
        <v>0</v>
      </c>
      <c r="X78" s="20">
        <v>0</v>
      </c>
      <c r="Y78" s="20">
        <v>0</v>
      </c>
    </row>
    <row r="79" spans="1:25" ht="15">
      <c r="A79" s="22">
        <f t="shared" si="0"/>
        <v>63</v>
      </c>
      <c r="B79" s="10" t="s">
        <v>280</v>
      </c>
      <c r="C79" s="20">
        <f t="shared" si="3"/>
        <v>4238092</v>
      </c>
      <c r="D79" s="20">
        <f t="shared" si="4"/>
        <v>3875559</v>
      </c>
      <c r="E79" s="20"/>
      <c r="F79" s="20"/>
      <c r="G79" s="20">
        <f t="shared" si="5"/>
        <v>4056826</v>
      </c>
      <c r="H79" s="20"/>
      <c r="I79" s="20">
        <f t="shared" si="8"/>
        <v>0</v>
      </c>
      <c r="J79" s="20">
        <f t="shared" si="8"/>
        <v>4056825.5</v>
      </c>
      <c r="K79" s="20">
        <f t="shared" si="8"/>
        <v>0</v>
      </c>
      <c r="L79" s="20">
        <f t="shared" si="8"/>
        <v>0</v>
      </c>
      <c r="M79" s="20">
        <f t="shared" si="8"/>
        <v>0</v>
      </c>
      <c r="N79" s="20"/>
      <c r="O79" s="20">
        <v>0</v>
      </c>
      <c r="P79" s="20">
        <f>9063358-4825266</f>
        <v>4238092</v>
      </c>
      <c r="Q79" s="20">
        <v>0</v>
      </c>
      <c r="R79" s="20">
        <v>0</v>
      </c>
      <c r="S79" s="20">
        <v>0</v>
      </c>
      <c r="T79" s="20"/>
      <c r="U79" s="20">
        <v>0</v>
      </c>
      <c r="V79" s="20">
        <f>9063358-5187799</f>
        <v>3875559</v>
      </c>
      <c r="W79" s="20">
        <v>0</v>
      </c>
      <c r="X79" s="20">
        <v>0</v>
      </c>
      <c r="Y79" s="20">
        <v>0</v>
      </c>
    </row>
    <row r="80" spans="1:25" ht="15">
      <c r="A80" s="22">
        <f t="shared" si="0"/>
        <v>64</v>
      </c>
      <c r="B80" s="10" t="s">
        <v>34</v>
      </c>
      <c r="C80" s="20">
        <f>0.15+110752.75+231836.15</f>
        <v>342589.05</v>
      </c>
      <c r="D80" s="20">
        <v>341650.48</v>
      </c>
      <c r="E80" s="20">
        <f aca="true" t="shared" si="9" ref="E80:F82">-C80</f>
        <v>-342589.05</v>
      </c>
      <c r="F80" s="20">
        <f t="shared" si="9"/>
        <v>-341650.48</v>
      </c>
      <c r="G80" s="20">
        <f t="shared" si="5"/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5">
      <c r="A81" s="22">
        <f t="shared" si="0"/>
        <v>65</v>
      </c>
      <c r="B81" s="10" t="s">
        <v>73</v>
      </c>
      <c r="C81" s="20">
        <f>1208437.05+1707022.78+42922650.26+32442068.18</f>
        <v>78280178.27</v>
      </c>
      <c r="D81" s="20">
        <v>87046718</v>
      </c>
      <c r="E81" s="20">
        <f t="shared" si="9"/>
        <v>-78280178.27</v>
      </c>
      <c r="F81" s="20">
        <f t="shared" si="9"/>
        <v>-87046718</v>
      </c>
      <c r="G81" s="20">
        <f t="shared" si="5"/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">
      <c r="A82" s="22">
        <f aca="true" t="shared" si="10" ref="A82:A145">A81+1</f>
        <v>66</v>
      </c>
      <c r="B82" s="10" t="s">
        <v>74</v>
      </c>
      <c r="C82" s="20">
        <f>-1669073-1153876-753860+707964</f>
        <v>-2868845</v>
      </c>
      <c r="D82" s="20">
        <v>-2271529</v>
      </c>
      <c r="E82" s="20">
        <f t="shared" si="9"/>
        <v>2868845</v>
      </c>
      <c r="F82" s="20">
        <f t="shared" si="9"/>
        <v>2271529</v>
      </c>
      <c r="G82" s="20">
        <f t="shared" si="5"/>
        <v>0</v>
      </c>
      <c r="H82" s="20"/>
      <c r="I82" s="20"/>
      <c r="J82" s="20"/>
      <c r="K82" s="20"/>
      <c r="L82" s="20"/>
      <c r="M82" s="20"/>
      <c r="N82" s="20"/>
      <c r="O82" s="25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5">
      <c r="A83" s="22">
        <f t="shared" si="10"/>
        <v>67</v>
      </c>
      <c r="B83" s="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5.75" thickBot="1">
      <c r="A84" s="22">
        <f t="shared" si="10"/>
        <v>68</v>
      </c>
      <c r="B84" s="10" t="s">
        <v>75</v>
      </c>
      <c r="C84" s="23">
        <f>SUM(C28:C83)</f>
        <v>995757205.6400001</v>
      </c>
      <c r="D84" s="23">
        <f>SUM(D28:D83)</f>
        <v>1085021768.8400002</v>
      </c>
      <c r="E84" s="23">
        <f>SUM(E28:E83)</f>
        <v>-75753922.32</v>
      </c>
      <c r="F84" s="23">
        <f>SUM(F28:F83)</f>
        <v>-85116839.48</v>
      </c>
      <c r="G84" s="23">
        <f>SUM(G28:G83)</f>
        <v>959954117</v>
      </c>
      <c r="H84" s="23"/>
      <c r="I84" s="23">
        <f>SUM(I28:I83)</f>
        <v>161355121.685</v>
      </c>
      <c r="J84" s="23">
        <f>SUM(J28:J83)</f>
        <v>424691267.31999993</v>
      </c>
      <c r="K84" s="23">
        <f>SUM(K28:K83)</f>
        <v>156555370.97</v>
      </c>
      <c r="L84" s="23">
        <f>SUM(L28:L83)</f>
        <v>217352346.36499998</v>
      </c>
      <c r="M84" s="23">
        <f>SUM(M28:M83)</f>
        <v>0</v>
      </c>
      <c r="N84" s="23"/>
      <c r="O84" s="23">
        <f>SUM(O28:O83)</f>
        <v>155282707.33</v>
      </c>
      <c r="P84" s="23">
        <f>SUM(P28:P83)</f>
        <v>405513545.88</v>
      </c>
      <c r="Q84" s="23">
        <f>SUM(Q28:Q83)</f>
        <v>151417843.88999996</v>
      </c>
      <c r="R84" s="23">
        <f>SUM(R28:R83)</f>
        <v>207789186.22</v>
      </c>
      <c r="S84" s="23">
        <f>SUM(S28:S83)</f>
        <v>0</v>
      </c>
      <c r="T84" s="20"/>
      <c r="U84" s="23">
        <f>SUM(U28:U83)</f>
        <v>167427536.04</v>
      </c>
      <c r="V84" s="23">
        <f>SUM(V28:V83)</f>
        <v>443868988.75999993</v>
      </c>
      <c r="W84" s="23">
        <f>SUM(W28:W83)</f>
        <v>161692898.04999998</v>
      </c>
      <c r="X84" s="23">
        <f>SUM(X28:X83)</f>
        <v>226915506.51000002</v>
      </c>
      <c r="Y84" s="23">
        <f>SUM(Y28:Y83)</f>
        <v>0</v>
      </c>
    </row>
    <row r="85" spans="1:25" ht="15.75" thickTop="1">
      <c r="A85" s="22">
        <f t="shared" si="10"/>
        <v>69</v>
      </c>
      <c r="B85" s="9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0"/>
      <c r="U85" s="24"/>
      <c r="V85" s="24"/>
      <c r="W85" s="24"/>
      <c r="X85" s="24"/>
      <c r="Y85" s="24"/>
    </row>
    <row r="86" spans="1:25" ht="15">
      <c r="A86" s="22">
        <f t="shared" si="10"/>
        <v>70</v>
      </c>
      <c r="B86" s="1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5">
      <c r="A87" s="22">
        <f t="shared" si="10"/>
        <v>71</v>
      </c>
      <c r="B87" s="19" t="s">
        <v>76</v>
      </c>
      <c r="C87" s="20" t="s">
        <v>77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">
      <c r="A88" s="22">
        <f t="shared" si="10"/>
        <v>72</v>
      </c>
      <c r="B88" s="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5">
      <c r="A89" s="22">
        <f t="shared" si="10"/>
        <v>73</v>
      </c>
      <c r="B89" s="10" t="s">
        <v>281</v>
      </c>
      <c r="C89" s="20">
        <f aca="true" t="shared" si="11" ref="C89:C127">SUM(O89:S89)</f>
        <v>577850</v>
      </c>
      <c r="D89" s="20">
        <f aca="true" t="shared" si="12" ref="D89:D127">SUM(U89:Y89)</f>
        <v>1190290.15</v>
      </c>
      <c r="E89" s="20"/>
      <c r="F89" s="20"/>
      <c r="G89" s="20">
        <f aca="true" t="shared" si="13" ref="G89:G127">ROUND(SUM(C89:F89)/2,0)</f>
        <v>884070</v>
      </c>
      <c r="H89" s="20"/>
      <c r="I89" s="20">
        <f aca="true" t="shared" si="14" ref="I89:M110">(+O89+U89)/2</f>
        <v>884070.075</v>
      </c>
      <c r="J89" s="20">
        <f t="shared" si="14"/>
        <v>0</v>
      </c>
      <c r="K89" s="20">
        <f t="shared" si="14"/>
        <v>0</v>
      </c>
      <c r="L89" s="20">
        <f t="shared" si="14"/>
        <v>0</v>
      </c>
      <c r="M89" s="20">
        <f t="shared" si="14"/>
        <v>0</v>
      </c>
      <c r="N89" s="20"/>
      <c r="O89" s="20">
        <v>577850</v>
      </c>
      <c r="P89" s="20">
        <v>0</v>
      </c>
      <c r="Q89" s="20">
        <v>0</v>
      </c>
      <c r="R89" s="20">
        <v>0</v>
      </c>
      <c r="S89" s="20">
        <v>0</v>
      </c>
      <c r="T89" s="20"/>
      <c r="U89" s="20">
        <v>1190290.15</v>
      </c>
      <c r="V89" s="20">
        <v>0</v>
      </c>
      <c r="W89" s="20">
        <v>0</v>
      </c>
      <c r="X89" s="20">
        <v>0</v>
      </c>
      <c r="Y89" s="20">
        <v>0</v>
      </c>
    </row>
    <row r="90" spans="1:25" ht="15">
      <c r="A90" s="22">
        <f t="shared" si="10"/>
        <v>74</v>
      </c>
      <c r="B90" s="10" t="s">
        <v>282</v>
      </c>
      <c r="C90" s="20">
        <f t="shared" si="11"/>
        <v>1106973.83</v>
      </c>
      <c r="D90" s="20">
        <f t="shared" si="12"/>
        <v>-605409.22</v>
      </c>
      <c r="E90" s="20"/>
      <c r="F90" s="20"/>
      <c r="G90" s="20">
        <f t="shared" si="13"/>
        <v>250782</v>
      </c>
      <c r="H90" s="20"/>
      <c r="I90" s="20">
        <f t="shared" si="14"/>
        <v>250782.30500000005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/>
      <c r="O90" s="20">
        <v>1106973.83</v>
      </c>
      <c r="P90" s="20">
        <v>0</v>
      </c>
      <c r="Q90" s="20">
        <v>0</v>
      </c>
      <c r="R90" s="20">
        <v>0</v>
      </c>
      <c r="S90" s="20">
        <v>0</v>
      </c>
      <c r="T90" s="20"/>
      <c r="U90" s="20">
        <v>-605409.22</v>
      </c>
      <c r="V90" s="20">
        <v>0</v>
      </c>
      <c r="W90" s="20">
        <v>0</v>
      </c>
      <c r="X90" s="20">
        <v>0</v>
      </c>
      <c r="Y90" s="20">
        <v>0</v>
      </c>
    </row>
    <row r="91" spans="1:25" ht="15">
      <c r="A91" s="22">
        <f t="shared" si="10"/>
        <v>75</v>
      </c>
      <c r="B91" s="10" t="s">
        <v>283</v>
      </c>
      <c r="C91" s="20">
        <f t="shared" si="11"/>
        <v>0</v>
      </c>
      <c r="D91" s="20">
        <f t="shared" si="12"/>
        <v>0</v>
      </c>
      <c r="E91" s="20"/>
      <c r="F91" s="20"/>
      <c r="G91" s="20">
        <f t="shared" si="13"/>
        <v>0</v>
      </c>
      <c r="H91" s="20"/>
      <c r="I91" s="20">
        <f t="shared" si="14"/>
        <v>0</v>
      </c>
      <c r="J91" s="20">
        <f t="shared" si="14"/>
        <v>0</v>
      </c>
      <c r="K91" s="20">
        <f t="shared" si="14"/>
        <v>0</v>
      </c>
      <c r="L91" s="20">
        <f t="shared" si="14"/>
        <v>0</v>
      </c>
      <c r="M91" s="20">
        <f t="shared" si="14"/>
        <v>0</v>
      </c>
      <c r="N91" s="20"/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/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">
      <c r="A92" s="22">
        <f t="shared" si="10"/>
        <v>76</v>
      </c>
      <c r="B92" s="19" t="s">
        <v>284</v>
      </c>
      <c r="C92" s="20">
        <f t="shared" si="11"/>
        <v>0</v>
      </c>
      <c r="D92" s="20">
        <f t="shared" si="12"/>
        <v>0</v>
      </c>
      <c r="E92" s="20"/>
      <c r="F92" s="20"/>
      <c r="G92" s="20">
        <f t="shared" si="13"/>
        <v>0</v>
      </c>
      <c r="H92" s="20"/>
      <c r="I92" s="20">
        <f t="shared" si="14"/>
        <v>0</v>
      </c>
      <c r="J92" s="20">
        <f t="shared" si="14"/>
        <v>0</v>
      </c>
      <c r="K92" s="20">
        <f t="shared" si="14"/>
        <v>0</v>
      </c>
      <c r="L92" s="20">
        <f t="shared" si="14"/>
        <v>0</v>
      </c>
      <c r="M92" s="20">
        <f t="shared" si="14"/>
        <v>0</v>
      </c>
      <c r="N92" s="20"/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/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">
      <c r="A93" s="22">
        <f t="shared" si="10"/>
        <v>77</v>
      </c>
      <c r="B93" s="10" t="s">
        <v>285</v>
      </c>
      <c r="C93" s="20">
        <f t="shared" si="11"/>
        <v>275722.65</v>
      </c>
      <c r="D93" s="20">
        <f t="shared" si="12"/>
        <v>271198.06</v>
      </c>
      <c r="E93" s="20"/>
      <c r="F93" s="20"/>
      <c r="G93" s="20">
        <f t="shared" si="13"/>
        <v>273460</v>
      </c>
      <c r="H93" s="20"/>
      <c r="I93" s="20">
        <f t="shared" si="14"/>
        <v>273460.355</v>
      </c>
      <c r="J93" s="20">
        <f t="shared" si="14"/>
        <v>0</v>
      </c>
      <c r="K93" s="20">
        <f t="shared" si="14"/>
        <v>0</v>
      </c>
      <c r="L93" s="20">
        <f t="shared" si="14"/>
        <v>0</v>
      </c>
      <c r="M93" s="20">
        <f t="shared" si="14"/>
        <v>0</v>
      </c>
      <c r="N93" s="20"/>
      <c r="O93" s="20">
        <v>275722.65</v>
      </c>
      <c r="P93" s="20">
        <v>0</v>
      </c>
      <c r="Q93" s="20">
        <v>0</v>
      </c>
      <c r="R93" s="20">
        <v>0</v>
      </c>
      <c r="S93" s="20">
        <v>0</v>
      </c>
      <c r="T93" s="20"/>
      <c r="U93" s="20">
        <v>271198.06</v>
      </c>
      <c r="V93" s="20">
        <v>0</v>
      </c>
      <c r="W93" s="20">
        <v>0</v>
      </c>
      <c r="X93" s="20">
        <v>0</v>
      </c>
      <c r="Y93" s="20">
        <v>0</v>
      </c>
    </row>
    <row r="94" spans="1:25" ht="15">
      <c r="A94" s="22">
        <f t="shared" si="10"/>
        <v>78</v>
      </c>
      <c r="B94" s="10" t="s">
        <v>286</v>
      </c>
      <c r="C94" s="20">
        <f t="shared" si="11"/>
        <v>26612.8</v>
      </c>
      <c r="D94" s="20">
        <f t="shared" si="12"/>
        <v>226118.29</v>
      </c>
      <c r="E94" s="20"/>
      <c r="F94" s="20"/>
      <c r="G94" s="20">
        <f t="shared" si="13"/>
        <v>126366</v>
      </c>
      <c r="H94" s="20"/>
      <c r="I94" s="20">
        <f t="shared" si="14"/>
        <v>126365.545</v>
      </c>
      <c r="J94" s="20">
        <f t="shared" si="14"/>
        <v>0</v>
      </c>
      <c r="K94" s="20">
        <f t="shared" si="14"/>
        <v>0</v>
      </c>
      <c r="L94" s="20">
        <f t="shared" si="14"/>
        <v>0</v>
      </c>
      <c r="M94" s="20">
        <f t="shared" si="14"/>
        <v>0</v>
      </c>
      <c r="N94" s="20"/>
      <c r="O94" s="20">
        <v>26612.8</v>
      </c>
      <c r="P94" s="20">
        <v>0</v>
      </c>
      <c r="Q94" s="20">
        <v>0</v>
      </c>
      <c r="R94" s="20">
        <v>0</v>
      </c>
      <c r="S94" s="20">
        <v>0</v>
      </c>
      <c r="T94" s="20"/>
      <c r="U94" s="20">
        <v>226118.29</v>
      </c>
      <c r="V94" s="20">
        <v>0</v>
      </c>
      <c r="W94" s="20">
        <v>0</v>
      </c>
      <c r="X94" s="20">
        <v>0</v>
      </c>
      <c r="Y94" s="20">
        <v>0</v>
      </c>
    </row>
    <row r="95" spans="1:25" ht="15">
      <c r="A95" s="22">
        <f t="shared" si="10"/>
        <v>79</v>
      </c>
      <c r="B95" s="10" t="s">
        <v>86</v>
      </c>
      <c r="C95" s="20">
        <f t="shared" si="11"/>
        <v>13455713.95</v>
      </c>
      <c r="D95" s="20">
        <f t="shared" si="12"/>
        <v>7155727.6</v>
      </c>
      <c r="E95" s="20"/>
      <c r="F95" s="20"/>
      <c r="G95" s="20">
        <f t="shared" si="13"/>
        <v>10305721</v>
      </c>
      <c r="H95" s="20"/>
      <c r="I95" s="20">
        <f t="shared" si="14"/>
        <v>10305720.774999999</v>
      </c>
      <c r="J95" s="20">
        <f t="shared" si="14"/>
        <v>0</v>
      </c>
      <c r="K95" s="20">
        <f t="shared" si="14"/>
        <v>0</v>
      </c>
      <c r="L95" s="20">
        <f t="shared" si="14"/>
        <v>0</v>
      </c>
      <c r="M95" s="20">
        <f t="shared" si="14"/>
        <v>0</v>
      </c>
      <c r="N95" s="20"/>
      <c r="O95" s="20">
        <f>13455713.95</f>
        <v>13455713.95</v>
      </c>
      <c r="P95" s="20">
        <v>0</v>
      </c>
      <c r="Q95" s="20">
        <v>0</v>
      </c>
      <c r="R95" s="20">
        <v>0</v>
      </c>
      <c r="S95" s="20">
        <v>0</v>
      </c>
      <c r="T95" s="20"/>
      <c r="U95" s="20">
        <v>7155727.6</v>
      </c>
      <c r="V95" s="20">
        <v>0</v>
      </c>
      <c r="W95" s="20">
        <v>0</v>
      </c>
      <c r="X95" s="20">
        <v>0</v>
      </c>
      <c r="Y95" s="20">
        <v>0</v>
      </c>
    </row>
    <row r="96" spans="1:25" ht="15">
      <c r="A96" s="22">
        <f t="shared" si="10"/>
        <v>80</v>
      </c>
      <c r="B96" s="19" t="s">
        <v>287</v>
      </c>
      <c r="C96" s="20">
        <f t="shared" si="11"/>
        <v>-17945.9</v>
      </c>
      <c r="D96" s="20">
        <f t="shared" si="12"/>
        <v>-430760.05</v>
      </c>
      <c r="E96" s="20"/>
      <c r="F96" s="20"/>
      <c r="G96" s="20">
        <f t="shared" si="13"/>
        <v>-224353</v>
      </c>
      <c r="H96" s="20"/>
      <c r="I96" s="20">
        <f t="shared" si="14"/>
        <v>-224352.975</v>
      </c>
      <c r="J96" s="20">
        <f t="shared" si="14"/>
        <v>0</v>
      </c>
      <c r="K96" s="20">
        <f t="shared" si="14"/>
        <v>0</v>
      </c>
      <c r="L96" s="20">
        <f t="shared" si="14"/>
        <v>0</v>
      </c>
      <c r="M96" s="20">
        <f t="shared" si="14"/>
        <v>0</v>
      </c>
      <c r="N96" s="20"/>
      <c r="O96" s="20">
        <v>-17945.9</v>
      </c>
      <c r="P96" s="20">
        <v>0</v>
      </c>
      <c r="Q96" s="20">
        <v>0</v>
      </c>
      <c r="R96" s="20">
        <v>0</v>
      </c>
      <c r="S96" s="20">
        <v>0</v>
      </c>
      <c r="T96" s="20"/>
      <c r="U96" s="20">
        <v>-430760.05</v>
      </c>
      <c r="V96" s="20">
        <v>0</v>
      </c>
      <c r="W96" s="20">
        <v>0</v>
      </c>
      <c r="X96" s="20">
        <v>0</v>
      </c>
      <c r="Y96" s="20">
        <v>0</v>
      </c>
    </row>
    <row r="97" spans="1:25" ht="15">
      <c r="A97" s="22">
        <f t="shared" si="10"/>
        <v>81</v>
      </c>
      <c r="B97" s="10" t="s">
        <v>288</v>
      </c>
      <c r="C97" s="20">
        <f t="shared" si="11"/>
        <v>0</v>
      </c>
      <c r="D97" s="20">
        <f t="shared" si="12"/>
        <v>0</v>
      </c>
      <c r="E97" s="20"/>
      <c r="F97" s="20"/>
      <c r="G97" s="20">
        <f t="shared" si="13"/>
        <v>0</v>
      </c>
      <c r="H97" s="20"/>
      <c r="I97" s="20">
        <f t="shared" si="14"/>
        <v>0</v>
      </c>
      <c r="J97" s="20">
        <f t="shared" si="14"/>
        <v>0</v>
      </c>
      <c r="K97" s="20">
        <f t="shared" si="14"/>
        <v>0</v>
      </c>
      <c r="L97" s="20">
        <f t="shared" si="14"/>
        <v>0</v>
      </c>
      <c r="M97" s="20">
        <f t="shared" si="14"/>
        <v>0</v>
      </c>
      <c r="N97" s="20"/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/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">
      <c r="A98" s="22">
        <f t="shared" si="10"/>
        <v>82</v>
      </c>
      <c r="B98" s="19" t="s">
        <v>289</v>
      </c>
      <c r="C98" s="20">
        <f t="shared" si="11"/>
        <v>-0.01</v>
      </c>
      <c r="D98" s="20">
        <f t="shared" si="12"/>
        <v>197155.76</v>
      </c>
      <c r="E98" s="20"/>
      <c r="F98" s="20"/>
      <c r="G98" s="20">
        <f t="shared" si="13"/>
        <v>98578</v>
      </c>
      <c r="H98" s="20"/>
      <c r="I98" s="20">
        <f t="shared" si="14"/>
        <v>98577.875</v>
      </c>
      <c r="J98" s="20">
        <f t="shared" si="14"/>
        <v>0</v>
      </c>
      <c r="K98" s="20">
        <f t="shared" si="14"/>
        <v>0</v>
      </c>
      <c r="L98" s="20">
        <f t="shared" si="14"/>
        <v>0</v>
      </c>
      <c r="M98" s="20">
        <f t="shared" si="14"/>
        <v>0</v>
      </c>
      <c r="N98" s="20"/>
      <c r="O98" s="20">
        <v>-0.01</v>
      </c>
      <c r="P98" s="20">
        <v>0</v>
      </c>
      <c r="Q98" s="20">
        <v>0</v>
      </c>
      <c r="R98" s="20">
        <v>0</v>
      </c>
      <c r="S98" s="20">
        <v>0</v>
      </c>
      <c r="T98" s="20"/>
      <c r="U98" s="20">
        <v>197155.76</v>
      </c>
      <c r="V98" s="20">
        <v>0</v>
      </c>
      <c r="W98" s="20">
        <v>0</v>
      </c>
      <c r="X98" s="20">
        <v>0</v>
      </c>
      <c r="Y98" s="20">
        <v>0</v>
      </c>
    </row>
    <row r="99" spans="1:25" ht="15">
      <c r="A99" s="22">
        <f t="shared" si="10"/>
        <v>83</v>
      </c>
      <c r="B99" s="19" t="s">
        <v>290</v>
      </c>
      <c r="C99" s="20">
        <f t="shared" si="11"/>
        <v>985549.28</v>
      </c>
      <c r="D99" s="20">
        <f t="shared" si="12"/>
        <v>761763.85</v>
      </c>
      <c r="E99" s="20"/>
      <c r="F99" s="20"/>
      <c r="G99" s="20">
        <f t="shared" si="13"/>
        <v>873657</v>
      </c>
      <c r="H99" s="20"/>
      <c r="I99" s="20">
        <f t="shared" si="14"/>
        <v>0</v>
      </c>
      <c r="J99" s="20">
        <f t="shared" si="14"/>
        <v>0</v>
      </c>
      <c r="K99" s="20">
        <f t="shared" si="14"/>
        <v>873656.565</v>
      </c>
      <c r="L99" s="20">
        <f t="shared" si="14"/>
        <v>0</v>
      </c>
      <c r="M99" s="20">
        <f t="shared" si="14"/>
        <v>0</v>
      </c>
      <c r="N99" s="20"/>
      <c r="O99" s="20">
        <v>0</v>
      </c>
      <c r="P99" s="20">
        <v>0</v>
      </c>
      <c r="Q99" s="20">
        <v>985549.28</v>
      </c>
      <c r="R99" s="20">
        <v>0</v>
      </c>
      <c r="S99" s="20">
        <v>0</v>
      </c>
      <c r="T99" s="20"/>
      <c r="U99" s="20">
        <v>0</v>
      </c>
      <c r="V99" s="20">
        <v>0</v>
      </c>
      <c r="W99" s="20">
        <v>761763.85</v>
      </c>
      <c r="X99" s="20">
        <v>0</v>
      </c>
      <c r="Y99" s="20">
        <v>0</v>
      </c>
    </row>
    <row r="100" spans="1:25" ht="15">
      <c r="A100" s="22">
        <f t="shared" si="10"/>
        <v>84</v>
      </c>
      <c r="B100" s="19" t="s">
        <v>291</v>
      </c>
      <c r="C100" s="20">
        <f t="shared" si="11"/>
        <v>3859655.49</v>
      </c>
      <c r="D100" s="20">
        <f t="shared" si="12"/>
        <v>3633846.9</v>
      </c>
      <c r="E100" s="20"/>
      <c r="F100" s="20"/>
      <c r="G100" s="20">
        <f t="shared" si="13"/>
        <v>3746751</v>
      </c>
      <c r="H100" s="20"/>
      <c r="I100" s="20">
        <f t="shared" si="14"/>
        <v>0</v>
      </c>
      <c r="J100" s="20">
        <f t="shared" si="14"/>
        <v>0</v>
      </c>
      <c r="K100" s="20">
        <f t="shared" si="14"/>
        <v>0</v>
      </c>
      <c r="L100" s="20">
        <f t="shared" si="14"/>
        <v>3746751.1950000003</v>
      </c>
      <c r="M100" s="20">
        <f t="shared" si="14"/>
        <v>0</v>
      </c>
      <c r="N100" s="20"/>
      <c r="O100" s="20">
        <v>0</v>
      </c>
      <c r="P100" s="20">
        <v>0</v>
      </c>
      <c r="Q100" s="20">
        <v>0</v>
      </c>
      <c r="R100" s="20">
        <v>3859655.49</v>
      </c>
      <c r="S100" s="20">
        <v>0</v>
      </c>
      <c r="T100" s="20"/>
      <c r="U100" s="20">
        <v>0</v>
      </c>
      <c r="V100" s="20">
        <v>0</v>
      </c>
      <c r="W100" s="20">
        <v>0</v>
      </c>
      <c r="X100" s="20">
        <v>3633846.9</v>
      </c>
      <c r="Y100" s="20">
        <v>0</v>
      </c>
    </row>
    <row r="101" spans="1:25" ht="15">
      <c r="A101" s="22">
        <f t="shared" si="10"/>
        <v>85</v>
      </c>
      <c r="B101" s="19" t="s">
        <v>94</v>
      </c>
      <c r="C101" s="20">
        <f>SUM(O101:S101)</f>
        <v>0</v>
      </c>
      <c r="D101" s="20">
        <f>SUM(U101:Y101)</f>
        <v>642645.48</v>
      </c>
      <c r="E101" s="20"/>
      <c r="F101" s="20"/>
      <c r="G101" s="20">
        <f t="shared" si="13"/>
        <v>321323</v>
      </c>
      <c r="H101" s="20"/>
      <c r="I101" s="20">
        <f>(+O101+U101)/2</f>
        <v>0</v>
      </c>
      <c r="J101" s="20">
        <f>(+P101+V101)/2</f>
        <v>0</v>
      </c>
      <c r="K101" s="20">
        <f>(+Q101+W101)/2</f>
        <v>0</v>
      </c>
      <c r="L101" s="20">
        <f>(+R101+X101)/2</f>
        <v>321322.74</v>
      </c>
      <c r="M101" s="20">
        <f>(+S101+Y101)/2</f>
        <v>0</v>
      </c>
      <c r="N101" s="20"/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/>
      <c r="U101" s="20">
        <v>0</v>
      </c>
      <c r="V101" s="20">
        <v>0</v>
      </c>
      <c r="W101" s="20">
        <v>0</v>
      </c>
      <c r="X101" s="20">
        <v>642645.48</v>
      </c>
      <c r="Y101" s="20">
        <v>0</v>
      </c>
    </row>
    <row r="102" spans="1:25" ht="15">
      <c r="A102" s="22">
        <f t="shared" si="10"/>
        <v>86</v>
      </c>
      <c r="B102" s="19" t="s">
        <v>292</v>
      </c>
      <c r="C102" s="20">
        <f t="shared" si="11"/>
        <v>168402.54</v>
      </c>
      <c r="D102" s="20">
        <f t="shared" si="12"/>
        <v>216579.31</v>
      </c>
      <c r="E102" s="20"/>
      <c r="F102" s="20"/>
      <c r="G102" s="20">
        <f t="shared" si="13"/>
        <v>192491</v>
      </c>
      <c r="H102" s="20"/>
      <c r="I102" s="20">
        <f t="shared" si="14"/>
        <v>-4617.064999999999</v>
      </c>
      <c r="J102" s="20">
        <f t="shared" si="14"/>
        <v>28623.865</v>
      </c>
      <c r="K102" s="20">
        <f t="shared" si="14"/>
        <v>20296.365</v>
      </c>
      <c r="L102" s="20">
        <f t="shared" si="14"/>
        <v>148187.76</v>
      </c>
      <c r="M102" s="20">
        <f t="shared" si="14"/>
        <v>0</v>
      </c>
      <c r="N102" s="20"/>
      <c r="O102" s="20">
        <v>17630.31</v>
      </c>
      <c r="P102" s="20">
        <v>54581.87</v>
      </c>
      <c r="Q102" s="20">
        <v>38267.08</v>
      </c>
      <c r="R102" s="20">
        <v>57923.28</v>
      </c>
      <c r="S102" s="20">
        <v>0</v>
      </c>
      <c r="T102" s="20"/>
      <c r="U102" s="20">
        <v>-26864.44</v>
      </c>
      <c r="V102" s="20">
        <v>2665.86</v>
      </c>
      <c r="W102" s="20">
        <v>2325.65</v>
      </c>
      <c r="X102" s="20">
        <v>238452.24</v>
      </c>
      <c r="Y102" s="20">
        <v>0</v>
      </c>
    </row>
    <row r="103" spans="1:25" ht="15">
      <c r="A103" s="22">
        <f t="shared" si="10"/>
        <v>87</v>
      </c>
      <c r="B103" s="19" t="s">
        <v>293</v>
      </c>
      <c r="C103" s="20">
        <f t="shared" si="11"/>
        <v>321090.05</v>
      </c>
      <c r="D103" s="20">
        <f t="shared" si="12"/>
        <v>321090.05</v>
      </c>
      <c r="E103" s="20"/>
      <c r="F103" s="20"/>
      <c r="G103" s="20">
        <f t="shared" si="13"/>
        <v>321090</v>
      </c>
      <c r="H103" s="20"/>
      <c r="I103" s="20">
        <f t="shared" si="14"/>
        <v>267662.5</v>
      </c>
      <c r="J103" s="20">
        <f t="shared" si="14"/>
        <v>0</v>
      </c>
      <c r="K103" s="20">
        <f t="shared" si="14"/>
        <v>53427.5</v>
      </c>
      <c r="L103" s="20">
        <f t="shared" si="14"/>
        <v>0.05</v>
      </c>
      <c r="M103" s="20">
        <f t="shared" si="14"/>
        <v>0</v>
      </c>
      <c r="N103" s="20"/>
      <c r="O103" s="20">
        <v>267662.5</v>
      </c>
      <c r="P103" s="20">
        <v>0</v>
      </c>
      <c r="Q103" s="20">
        <v>53427.5</v>
      </c>
      <c r="R103" s="20">
        <v>0.05</v>
      </c>
      <c r="S103" s="20">
        <v>0</v>
      </c>
      <c r="T103" s="20"/>
      <c r="U103" s="20">
        <v>267662.5</v>
      </c>
      <c r="V103" s="20">
        <v>0</v>
      </c>
      <c r="W103" s="20">
        <v>53427.5</v>
      </c>
      <c r="X103" s="20">
        <v>0.05</v>
      </c>
      <c r="Y103" s="20">
        <v>0</v>
      </c>
    </row>
    <row r="104" spans="1:25" ht="15">
      <c r="A104" s="22">
        <f t="shared" si="10"/>
        <v>88</v>
      </c>
      <c r="B104" s="19" t="s">
        <v>294</v>
      </c>
      <c r="C104" s="20">
        <f>SUM(O104:S104)</f>
        <v>273423.85</v>
      </c>
      <c r="D104" s="20">
        <f>SUM(U104:Y104)</f>
        <v>816110.76</v>
      </c>
      <c r="E104" s="20"/>
      <c r="F104" s="20"/>
      <c r="G104" s="20">
        <f t="shared" si="13"/>
        <v>544767</v>
      </c>
      <c r="H104" s="20"/>
      <c r="I104" s="20">
        <f>(+O104+U104)/2</f>
        <v>288121.875</v>
      </c>
      <c r="J104" s="20">
        <f>(+P104+V104)/2</f>
        <v>0</v>
      </c>
      <c r="K104" s="20">
        <f>(+Q104+W104)/2</f>
        <v>47159.69</v>
      </c>
      <c r="L104" s="20">
        <f>(+R104+X104)/2</f>
        <v>209485.74000000002</v>
      </c>
      <c r="M104" s="20">
        <f>(+S104+Y104)/2</f>
        <v>0</v>
      </c>
      <c r="N104" s="20"/>
      <c r="O104" s="20">
        <v>112925.05</v>
      </c>
      <c r="P104" s="20">
        <v>0</v>
      </c>
      <c r="Q104" s="20">
        <v>22540.35</v>
      </c>
      <c r="R104" s="20">
        <v>137958.45</v>
      </c>
      <c r="S104" s="20">
        <v>0</v>
      </c>
      <c r="T104" s="20"/>
      <c r="U104" s="20">
        <v>463318.7</v>
      </c>
      <c r="V104" s="20">
        <v>0</v>
      </c>
      <c r="W104" s="20">
        <v>71779.03</v>
      </c>
      <c r="X104" s="20">
        <v>281013.03</v>
      </c>
      <c r="Y104" s="20">
        <v>0</v>
      </c>
    </row>
    <row r="105" spans="1:25" ht="15">
      <c r="A105" s="22">
        <f t="shared" si="10"/>
        <v>89</v>
      </c>
      <c r="B105" s="10" t="s">
        <v>295</v>
      </c>
      <c r="C105" s="20">
        <f t="shared" si="11"/>
        <v>12030902.25</v>
      </c>
      <c r="D105" s="20">
        <f t="shared" si="12"/>
        <v>15120976.3</v>
      </c>
      <c r="E105" s="20"/>
      <c r="F105" s="20"/>
      <c r="G105" s="20">
        <f t="shared" si="13"/>
        <v>13575939</v>
      </c>
      <c r="H105" s="20"/>
      <c r="I105" s="20">
        <f t="shared" si="14"/>
        <v>13575939.275</v>
      </c>
      <c r="J105" s="20">
        <f t="shared" si="14"/>
        <v>0</v>
      </c>
      <c r="K105" s="20">
        <f t="shared" si="14"/>
        <v>0</v>
      </c>
      <c r="L105" s="20">
        <f t="shared" si="14"/>
        <v>0</v>
      </c>
      <c r="M105" s="20">
        <f t="shared" si="14"/>
        <v>0</v>
      </c>
      <c r="N105" s="20"/>
      <c r="O105" s="20">
        <v>12030902.25</v>
      </c>
      <c r="P105" s="20">
        <v>0</v>
      </c>
      <c r="Q105" s="20">
        <v>0</v>
      </c>
      <c r="R105" s="20">
        <v>0</v>
      </c>
      <c r="S105" s="20">
        <v>0</v>
      </c>
      <c r="T105" s="20"/>
      <c r="U105" s="20">
        <v>15120976.3</v>
      </c>
      <c r="V105" s="20">
        <v>0</v>
      </c>
      <c r="W105" s="20">
        <v>0</v>
      </c>
      <c r="X105" s="20">
        <v>0</v>
      </c>
      <c r="Y105" s="20">
        <v>0</v>
      </c>
    </row>
    <row r="106" spans="1:25" ht="15">
      <c r="A106" s="22">
        <f t="shared" si="10"/>
        <v>90</v>
      </c>
      <c r="B106" s="10" t="s">
        <v>296</v>
      </c>
      <c r="C106" s="20">
        <f t="shared" si="11"/>
        <v>4581.15</v>
      </c>
      <c r="D106" s="20">
        <f t="shared" si="12"/>
        <v>4581.15</v>
      </c>
      <c r="E106" s="20"/>
      <c r="F106" s="20"/>
      <c r="G106" s="20">
        <f t="shared" si="13"/>
        <v>4581</v>
      </c>
      <c r="H106" s="20"/>
      <c r="I106" s="20">
        <f t="shared" si="14"/>
        <v>4581.15</v>
      </c>
      <c r="J106" s="20">
        <f t="shared" si="14"/>
        <v>0</v>
      </c>
      <c r="K106" s="20">
        <f t="shared" si="14"/>
        <v>0</v>
      </c>
      <c r="L106" s="20">
        <f t="shared" si="14"/>
        <v>0</v>
      </c>
      <c r="M106" s="20">
        <f t="shared" si="14"/>
        <v>0</v>
      </c>
      <c r="N106" s="20"/>
      <c r="O106" s="20">
        <v>4581.15</v>
      </c>
      <c r="P106" s="20">
        <v>0</v>
      </c>
      <c r="Q106" s="20">
        <v>0</v>
      </c>
      <c r="R106" s="20">
        <v>0</v>
      </c>
      <c r="S106" s="20">
        <v>0</v>
      </c>
      <c r="T106" s="20"/>
      <c r="U106" s="20">
        <v>4581.15</v>
      </c>
      <c r="V106" s="20">
        <v>0</v>
      </c>
      <c r="W106" s="20">
        <v>0</v>
      </c>
      <c r="X106" s="20">
        <v>0</v>
      </c>
      <c r="Y106" s="20">
        <v>0</v>
      </c>
    </row>
    <row r="107" spans="1:25" ht="15">
      <c r="A107" s="22">
        <f t="shared" si="10"/>
        <v>91</v>
      </c>
      <c r="B107" s="10" t="s">
        <v>98</v>
      </c>
      <c r="C107" s="20">
        <f t="shared" si="11"/>
        <v>179966.7</v>
      </c>
      <c r="D107" s="20">
        <f t="shared" si="12"/>
        <v>179966.7</v>
      </c>
      <c r="E107" s="20"/>
      <c r="F107" s="20"/>
      <c r="G107" s="20">
        <f t="shared" si="13"/>
        <v>179967</v>
      </c>
      <c r="H107" s="20"/>
      <c r="I107" s="20">
        <f t="shared" si="14"/>
        <v>179966.7</v>
      </c>
      <c r="J107" s="20">
        <f t="shared" si="14"/>
        <v>0</v>
      </c>
      <c r="K107" s="20">
        <f t="shared" si="14"/>
        <v>0</v>
      </c>
      <c r="L107" s="20">
        <f t="shared" si="14"/>
        <v>0</v>
      </c>
      <c r="M107" s="20">
        <f t="shared" si="14"/>
        <v>0</v>
      </c>
      <c r="N107" s="20"/>
      <c r="O107" s="20">
        <v>179966.7</v>
      </c>
      <c r="P107" s="20">
        <v>0</v>
      </c>
      <c r="Q107" s="20">
        <v>0</v>
      </c>
      <c r="R107" s="20">
        <v>0</v>
      </c>
      <c r="S107" s="20">
        <v>0</v>
      </c>
      <c r="T107" s="20"/>
      <c r="U107" s="20">
        <v>179966.7</v>
      </c>
      <c r="V107" s="20">
        <v>0</v>
      </c>
      <c r="W107" s="20">
        <v>0</v>
      </c>
      <c r="X107" s="20">
        <v>0</v>
      </c>
      <c r="Y107" s="20">
        <v>0</v>
      </c>
    </row>
    <row r="108" spans="1:25" ht="15">
      <c r="A108" s="22">
        <f t="shared" si="10"/>
        <v>92</v>
      </c>
      <c r="B108" s="10" t="s">
        <v>293</v>
      </c>
      <c r="C108" s="20">
        <f t="shared" si="11"/>
        <v>0</v>
      </c>
      <c r="D108" s="20">
        <f t="shared" si="12"/>
        <v>0</v>
      </c>
      <c r="E108" s="20"/>
      <c r="F108" s="20"/>
      <c r="G108" s="20">
        <f t="shared" si="13"/>
        <v>0</v>
      </c>
      <c r="H108" s="20"/>
      <c r="I108" s="20">
        <f t="shared" si="14"/>
        <v>0</v>
      </c>
      <c r="J108" s="20">
        <f t="shared" si="14"/>
        <v>0</v>
      </c>
      <c r="K108" s="20">
        <f t="shared" si="14"/>
        <v>0</v>
      </c>
      <c r="L108" s="20">
        <f t="shared" si="14"/>
        <v>0</v>
      </c>
      <c r="M108" s="20">
        <f t="shared" si="14"/>
        <v>0</v>
      </c>
      <c r="N108" s="20"/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/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">
      <c r="A109" s="22">
        <f t="shared" si="10"/>
        <v>93</v>
      </c>
      <c r="B109" s="19" t="s">
        <v>101</v>
      </c>
      <c r="C109" s="20">
        <f t="shared" si="11"/>
        <v>282777.67</v>
      </c>
      <c r="D109" s="20">
        <f t="shared" si="12"/>
        <v>243643.33</v>
      </c>
      <c r="E109" s="20"/>
      <c r="F109" s="20"/>
      <c r="G109" s="20">
        <f t="shared" si="13"/>
        <v>263211</v>
      </c>
      <c r="H109" s="20"/>
      <c r="I109" s="20">
        <f t="shared" si="14"/>
        <v>263210.5</v>
      </c>
      <c r="J109" s="20">
        <f t="shared" si="14"/>
        <v>0</v>
      </c>
      <c r="K109" s="20">
        <f t="shared" si="14"/>
        <v>0</v>
      </c>
      <c r="L109" s="20">
        <f t="shared" si="14"/>
        <v>0</v>
      </c>
      <c r="M109" s="20">
        <f t="shared" si="14"/>
        <v>0</v>
      </c>
      <c r="N109" s="20"/>
      <c r="O109" s="20">
        <v>282777.67</v>
      </c>
      <c r="P109" s="20">
        <v>0</v>
      </c>
      <c r="Q109" s="20">
        <v>0</v>
      </c>
      <c r="R109" s="20">
        <v>0</v>
      </c>
      <c r="S109" s="20">
        <v>0</v>
      </c>
      <c r="T109" s="20"/>
      <c r="U109" s="20">
        <v>243643.33</v>
      </c>
      <c r="V109" s="20">
        <v>0</v>
      </c>
      <c r="W109" s="20">
        <v>0</v>
      </c>
      <c r="X109" s="20">
        <v>0</v>
      </c>
      <c r="Y109" s="20">
        <v>0</v>
      </c>
    </row>
    <row r="110" spans="1:25" ht="15">
      <c r="A110" s="22">
        <f t="shared" si="10"/>
        <v>94</v>
      </c>
      <c r="B110" s="19" t="s">
        <v>297</v>
      </c>
      <c r="C110" s="20">
        <f t="shared" si="11"/>
        <v>-8374.45</v>
      </c>
      <c r="D110" s="20">
        <f t="shared" si="12"/>
        <v>-8374.45</v>
      </c>
      <c r="E110" s="20"/>
      <c r="F110" s="20"/>
      <c r="G110" s="20">
        <f t="shared" si="13"/>
        <v>-8374</v>
      </c>
      <c r="H110" s="20"/>
      <c r="I110" s="20">
        <f t="shared" si="14"/>
        <v>-8374.45</v>
      </c>
      <c r="J110" s="20">
        <f t="shared" si="14"/>
        <v>0</v>
      </c>
      <c r="K110" s="20">
        <f t="shared" si="14"/>
        <v>0</v>
      </c>
      <c r="L110" s="20">
        <f t="shared" si="14"/>
        <v>0</v>
      </c>
      <c r="M110" s="20">
        <f t="shared" si="14"/>
        <v>0</v>
      </c>
      <c r="N110" s="20"/>
      <c r="O110" s="20">
        <v>-8374.45</v>
      </c>
      <c r="P110" s="20">
        <v>0</v>
      </c>
      <c r="Q110" s="20">
        <v>0</v>
      </c>
      <c r="R110" s="20">
        <v>0</v>
      </c>
      <c r="S110" s="20">
        <v>0</v>
      </c>
      <c r="T110" s="20"/>
      <c r="U110" s="20">
        <v>-8374.45</v>
      </c>
      <c r="V110" s="20">
        <v>0</v>
      </c>
      <c r="W110" s="20">
        <v>0</v>
      </c>
      <c r="X110" s="20">
        <v>0</v>
      </c>
      <c r="Y110" s="20">
        <v>0</v>
      </c>
    </row>
    <row r="111" spans="1:25" ht="15">
      <c r="A111" s="22">
        <f t="shared" si="10"/>
        <v>95</v>
      </c>
      <c r="B111" s="19" t="s">
        <v>298</v>
      </c>
      <c r="C111" s="20">
        <f t="shared" si="11"/>
        <v>0.01</v>
      </c>
      <c r="D111" s="20">
        <f t="shared" si="12"/>
        <v>0.01</v>
      </c>
      <c r="E111" s="20"/>
      <c r="F111" s="20"/>
      <c r="G111" s="20">
        <f t="shared" si="13"/>
        <v>0</v>
      </c>
      <c r="H111" s="20"/>
      <c r="I111" s="20">
        <f aca="true" t="shared" si="15" ref="I111:M126">(+O111+U111)/2</f>
        <v>0.01</v>
      </c>
      <c r="J111" s="20">
        <f t="shared" si="15"/>
        <v>0</v>
      </c>
      <c r="K111" s="20">
        <f t="shared" si="15"/>
        <v>0</v>
      </c>
      <c r="L111" s="20">
        <f t="shared" si="15"/>
        <v>0</v>
      </c>
      <c r="M111" s="20">
        <f t="shared" si="15"/>
        <v>0</v>
      </c>
      <c r="N111" s="20"/>
      <c r="O111" s="20">
        <v>0.01</v>
      </c>
      <c r="P111" s="20">
        <v>0</v>
      </c>
      <c r="Q111" s="20">
        <v>0</v>
      </c>
      <c r="R111" s="20">
        <v>0</v>
      </c>
      <c r="S111" s="20">
        <v>0</v>
      </c>
      <c r="T111" s="20"/>
      <c r="U111" s="20">
        <v>0.01</v>
      </c>
      <c r="V111" s="20">
        <v>0</v>
      </c>
      <c r="W111" s="20">
        <v>0</v>
      </c>
      <c r="X111" s="20">
        <v>0</v>
      </c>
      <c r="Y111" s="20">
        <v>0</v>
      </c>
    </row>
    <row r="112" spans="1:25" ht="15">
      <c r="A112" s="22">
        <f t="shared" si="10"/>
        <v>96</v>
      </c>
      <c r="B112" s="19" t="s">
        <v>102</v>
      </c>
      <c r="C112" s="20">
        <f t="shared" si="11"/>
        <v>70787550.05</v>
      </c>
      <c r="D112" s="20">
        <f t="shared" si="12"/>
        <v>46850400.8</v>
      </c>
      <c r="E112" s="20"/>
      <c r="F112" s="20"/>
      <c r="G112" s="20">
        <f t="shared" si="13"/>
        <v>58818975</v>
      </c>
      <c r="H112" s="20"/>
      <c r="I112" s="20">
        <f t="shared" si="15"/>
        <v>12708731.7</v>
      </c>
      <c r="J112" s="20">
        <f t="shared" si="15"/>
        <v>15453438.175</v>
      </c>
      <c r="K112" s="20">
        <f t="shared" si="15"/>
        <v>4942314.475</v>
      </c>
      <c r="L112" s="20">
        <f t="shared" si="15"/>
        <v>25714491.075000003</v>
      </c>
      <c r="M112" s="20">
        <f t="shared" si="15"/>
        <v>0</v>
      </c>
      <c r="N112" s="20"/>
      <c r="O112" s="20">
        <v>14957104.4</v>
      </c>
      <c r="P112" s="20">
        <v>20793555.3</v>
      </c>
      <c r="Q112" s="20">
        <v>5722039.05</v>
      </c>
      <c r="R112" s="20">
        <v>29314851.3</v>
      </c>
      <c r="S112" s="20">
        <v>0</v>
      </c>
      <c r="T112" s="20"/>
      <c r="U112" s="20">
        <v>10460359</v>
      </c>
      <c r="V112" s="20">
        <v>10113321.05</v>
      </c>
      <c r="W112" s="20">
        <v>4162589.9</v>
      </c>
      <c r="X112" s="20">
        <v>22114130.85</v>
      </c>
      <c r="Y112" s="20">
        <v>0</v>
      </c>
    </row>
    <row r="113" spans="1:25" ht="15">
      <c r="A113" s="22">
        <f t="shared" si="10"/>
        <v>97</v>
      </c>
      <c r="B113" s="19" t="s">
        <v>103</v>
      </c>
      <c r="C113" s="20">
        <f t="shared" si="11"/>
        <v>199818.84999999998</v>
      </c>
      <c r="D113" s="20">
        <f t="shared" si="12"/>
        <v>245646.45</v>
      </c>
      <c r="E113" s="20"/>
      <c r="F113" s="20"/>
      <c r="G113" s="20">
        <f t="shared" si="13"/>
        <v>222733</v>
      </c>
      <c r="H113" s="20"/>
      <c r="I113" s="20">
        <f t="shared" si="15"/>
        <v>-4017.125</v>
      </c>
      <c r="J113" s="20">
        <f t="shared" si="15"/>
        <v>31945.725</v>
      </c>
      <c r="K113" s="20">
        <f t="shared" si="15"/>
        <v>24834.25</v>
      </c>
      <c r="L113" s="20">
        <f t="shared" si="15"/>
        <v>169969.8</v>
      </c>
      <c r="M113" s="20">
        <f t="shared" si="15"/>
        <v>0</v>
      </c>
      <c r="N113" s="20"/>
      <c r="O113" s="20">
        <v>-4850.65</v>
      </c>
      <c r="P113" s="20">
        <v>10900.75</v>
      </c>
      <c r="Q113" s="20">
        <v>24414.6</v>
      </c>
      <c r="R113" s="20">
        <v>169354.15</v>
      </c>
      <c r="S113" s="20">
        <v>0</v>
      </c>
      <c r="T113" s="20"/>
      <c r="U113" s="20">
        <v>-3183.6</v>
      </c>
      <c r="V113" s="20">
        <v>52990.7</v>
      </c>
      <c r="W113" s="20">
        <v>25253.9</v>
      </c>
      <c r="X113" s="20">
        <v>170585.45</v>
      </c>
      <c r="Y113" s="20">
        <v>0</v>
      </c>
    </row>
    <row r="114" spans="1:25" ht="15">
      <c r="A114" s="22">
        <f t="shared" si="10"/>
        <v>98</v>
      </c>
      <c r="B114" s="19" t="s">
        <v>104</v>
      </c>
      <c r="C114" s="20">
        <f t="shared" si="11"/>
        <v>6291724.75</v>
      </c>
      <c r="D114" s="20">
        <f t="shared" si="12"/>
        <v>-12049774.379999999</v>
      </c>
      <c r="E114" s="20"/>
      <c r="F114" s="20"/>
      <c r="G114" s="20">
        <f t="shared" si="13"/>
        <v>-2879025</v>
      </c>
      <c r="H114" s="20"/>
      <c r="I114" s="20">
        <f t="shared" si="15"/>
        <v>-600799.3</v>
      </c>
      <c r="J114" s="20">
        <f t="shared" si="15"/>
        <v>-917788.26</v>
      </c>
      <c r="K114" s="20">
        <f t="shared" si="15"/>
        <v>-213917.23500000002</v>
      </c>
      <c r="L114" s="20">
        <f t="shared" si="15"/>
        <v>-1146520.02</v>
      </c>
      <c r="M114" s="20">
        <f t="shared" si="15"/>
        <v>0</v>
      </c>
      <c r="N114" s="20"/>
      <c r="O114" s="20">
        <v>1348559.25</v>
      </c>
      <c r="P114" s="20">
        <v>2072914.98</v>
      </c>
      <c r="Q114" s="20">
        <v>486563.18</v>
      </c>
      <c r="R114" s="20">
        <v>2383687.34</v>
      </c>
      <c r="S114" s="20">
        <v>0</v>
      </c>
      <c r="T114" s="20"/>
      <c r="U114" s="20">
        <v>-2550157.85</v>
      </c>
      <c r="V114" s="20">
        <v>-3908491.5</v>
      </c>
      <c r="W114" s="20">
        <v>-914397.65</v>
      </c>
      <c r="X114" s="20">
        <v>-4676727.38</v>
      </c>
      <c r="Y114" s="20">
        <v>0</v>
      </c>
    </row>
    <row r="115" spans="1:25" ht="15">
      <c r="A115" s="22">
        <f t="shared" si="10"/>
        <v>99</v>
      </c>
      <c r="B115" s="19" t="s">
        <v>299</v>
      </c>
      <c r="C115" s="20">
        <f t="shared" si="11"/>
        <v>0</v>
      </c>
      <c r="D115" s="20">
        <f t="shared" si="12"/>
        <v>0</v>
      </c>
      <c r="E115" s="20"/>
      <c r="F115" s="20"/>
      <c r="G115" s="20">
        <f t="shared" si="13"/>
        <v>0</v>
      </c>
      <c r="H115" s="20"/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/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/>
      <c r="U115" s="20">
        <v>0</v>
      </c>
      <c r="V115" s="20">
        <v>0</v>
      </c>
      <c r="W115" s="20">
        <v>0</v>
      </c>
      <c r="X115" s="20">
        <v>0</v>
      </c>
      <c r="Y115" s="20">
        <v>0</v>
      </c>
    </row>
    <row r="116" spans="1:25" ht="15">
      <c r="A116" s="22">
        <f t="shared" si="10"/>
        <v>100</v>
      </c>
      <c r="B116" s="19" t="s">
        <v>300</v>
      </c>
      <c r="C116" s="20">
        <f t="shared" si="11"/>
        <v>-0.01</v>
      </c>
      <c r="D116" s="20">
        <f t="shared" si="12"/>
        <v>1542994.21</v>
      </c>
      <c r="E116" s="20"/>
      <c r="F116" s="20"/>
      <c r="G116" s="20">
        <f t="shared" si="13"/>
        <v>771497</v>
      </c>
      <c r="H116" s="20"/>
      <c r="I116" s="20">
        <f t="shared" si="15"/>
        <v>771497.1</v>
      </c>
      <c r="J116" s="20">
        <f t="shared" si="15"/>
        <v>0</v>
      </c>
      <c r="K116" s="20">
        <f t="shared" si="15"/>
        <v>0</v>
      </c>
      <c r="L116" s="20">
        <f t="shared" si="15"/>
        <v>0</v>
      </c>
      <c r="M116" s="20">
        <f t="shared" si="15"/>
        <v>0</v>
      </c>
      <c r="N116" s="20"/>
      <c r="O116" s="20">
        <v>-0.01</v>
      </c>
      <c r="P116" s="20">
        <v>0</v>
      </c>
      <c r="Q116" s="20">
        <v>0</v>
      </c>
      <c r="R116" s="20">
        <v>0</v>
      </c>
      <c r="S116" s="20">
        <v>0</v>
      </c>
      <c r="T116" s="20"/>
      <c r="U116" s="20">
        <v>1542994.21</v>
      </c>
      <c r="V116" s="20">
        <v>0</v>
      </c>
      <c r="W116" s="20">
        <v>0</v>
      </c>
      <c r="X116" s="20">
        <v>0</v>
      </c>
      <c r="Y116" s="20">
        <v>0</v>
      </c>
    </row>
    <row r="117" spans="1:25" ht="15">
      <c r="A117" s="22">
        <f t="shared" si="10"/>
        <v>101</v>
      </c>
      <c r="B117" s="19" t="s">
        <v>301</v>
      </c>
      <c r="C117" s="20">
        <f t="shared" si="11"/>
        <v>4899468.95</v>
      </c>
      <c r="D117" s="20">
        <f t="shared" si="12"/>
        <v>0</v>
      </c>
      <c r="E117" s="20"/>
      <c r="F117" s="20"/>
      <c r="G117" s="20">
        <f t="shared" si="13"/>
        <v>2449734</v>
      </c>
      <c r="H117" s="20"/>
      <c r="I117" s="20">
        <f t="shared" si="15"/>
        <v>2449734.475</v>
      </c>
      <c r="J117" s="20">
        <f t="shared" si="15"/>
        <v>0</v>
      </c>
      <c r="K117" s="20">
        <f t="shared" si="15"/>
        <v>0</v>
      </c>
      <c r="L117" s="20">
        <f t="shared" si="15"/>
        <v>0</v>
      </c>
      <c r="M117" s="20">
        <f t="shared" si="15"/>
        <v>0</v>
      </c>
      <c r="N117" s="20"/>
      <c r="O117" s="20">
        <v>4899468.95</v>
      </c>
      <c r="P117" s="20">
        <v>0</v>
      </c>
      <c r="Q117" s="20">
        <v>0</v>
      </c>
      <c r="R117" s="20">
        <v>0</v>
      </c>
      <c r="S117" s="20">
        <v>0</v>
      </c>
      <c r="T117" s="20"/>
      <c r="U117" s="20">
        <v>0</v>
      </c>
      <c r="V117" s="20">
        <v>0</v>
      </c>
      <c r="W117" s="20">
        <v>0</v>
      </c>
      <c r="X117" s="20">
        <v>0</v>
      </c>
      <c r="Y117" s="20">
        <v>0</v>
      </c>
    </row>
    <row r="118" spans="1:25" ht="15">
      <c r="A118" s="22">
        <f t="shared" si="10"/>
        <v>102</v>
      </c>
      <c r="B118" s="19" t="s">
        <v>302</v>
      </c>
      <c r="C118" s="20">
        <f t="shared" si="11"/>
        <v>0</v>
      </c>
      <c r="D118" s="20">
        <f t="shared" si="12"/>
        <v>0</v>
      </c>
      <c r="E118" s="20"/>
      <c r="F118" s="20"/>
      <c r="G118" s="20">
        <f t="shared" si="13"/>
        <v>0</v>
      </c>
      <c r="H118" s="20"/>
      <c r="I118" s="20">
        <f t="shared" si="15"/>
        <v>0</v>
      </c>
      <c r="J118" s="20">
        <f t="shared" si="15"/>
        <v>0</v>
      </c>
      <c r="K118" s="20">
        <f t="shared" si="15"/>
        <v>0</v>
      </c>
      <c r="L118" s="20">
        <f t="shared" si="15"/>
        <v>0</v>
      </c>
      <c r="M118" s="20">
        <f t="shared" si="15"/>
        <v>0</v>
      </c>
      <c r="N118" s="20"/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/>
      <c r="U118" s="20">
        <v>0</v>
      </c>
      <c r="V118" s="20">
        <v>0</v>
      </c>
      <c r="W118" s="20">
        <v>0</v>
      </c>
      <c r="X118" s="20">
        <v>0</v>
      </c>
      <c r="Y118" s="20">
        <v>0</v>
      </c>
    </row>
    <row r="119" spans="1:25" ht="15">
      <c r="A119" s="22">
        <f t="shared" si="10"/>
        <v>103</v>
      </c>
      <c r="B119" s="19" t="s">
        <v>303</v>
      </c>
      <c r="C119" s="20">
        <f t="shared" si="11"/>
        <v>0</v>
      </c>
      <c r="D119" s="20">
        <f t="shared" si="12"/>
        <v>0</v>
      </c>
      <c r="E119" s="20"/>
      <c r="F119" s="20"/>
      <c r="G119" s="20">
        <f t="shared" si="13"/>
        <v>0</v>
      </c>
      <c r="H119" s="20"/>
      <c r="I119" s="20">
        <f t="shared" si="15"/>
        <v>0</v>
      </c>
      <c r="J119" s="20">
        <f t="shared" si="15"/>
        <v>0</v>
      </c>
      <c r="K119" s="20">
        <f t="shared" si="15"/>
        <v>0</v>
      </c>
      <c r="L119" s="20">
        <f t="shared" si="15"/>
        <v>0</v>
      </c>
      <c r="M119" s="20">
        <f t="shared" si="15"/>
        <v>0</v>
      </c>
      <c r="N119" s="20"/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/>
      <c r="U119" s="20">
        <v>0</v>
      </c>
      <c r="V119" s="20">
        <v>0</v>
      </c>
      <c r="W119" s="20">
        <v>0</v>
      </c>
      <c r="X119" s="20">
        <v>0</v>
      </c>
      <c r="Y119" s="20">
        <v>0</v>
      </c>
    </row>
    <row r="120" spans="1:25" ht="15">
      <c r="A120" s="22">
        <f t="shared" si="10"/>
        <v>104</v>
      </c>
      <c r="B120" s="10" t="s">
        <v>304</v>
      </c>
      <c r="C120" s="20">
        <f t="shared" si="11"/>
        <v>316674.7</v>
      </c>
      <c r="D120" s="20">
        <f t="shared" si="12"/>
        <v>419074.57</v>
      </c>
      <c r="E120" s="20"/>
      <c r="F120" s="20"/>
      <c r="G120" s="20">
        <f t="shared" si="13"/>
        <v>367875</v>
      </c>
      <c r="H120" s="20"/>
      <c r="I120" s="20">
        <f t="shared" si="15"/>
        <v>2845.285</v>
      </c>
      <c r="J120" s="20">
        <f t="shared" si="15"/>
        <v>0</v>
      </c>
      <c r="K120" s="20">
        <f t="shared" si="15"/>
        <v>0</v>
      </c>
      <c r="L120" s="20">
        <f t="shared" si="15"/>
        <v>365029.35</v>
      </c>
      <c r="M120" s="20">
        <f t="shared" si="15"/>
        <v>0</v>
      </c>
      <c r="N120" s="20"/>
      <c r="O120" s="20">
        <v>2070.34</v>
      </c>
      <c r="P120" s="20">
        <v>0</v>
      </c>
      <c r="Q120" s="20">
        <v>0</v>
      </c>
      <c r="R120" s="20">
        <v>314604.36</v>
      </c>
      <c r="S120" s="20">
        <v>0</v>
      </c>
      <c r="T120" s="20"/>
      <c r="U120" s="20">
        <v>3620.23</v>
      </c>
      <c r="V120" s="20">
        <v>0</v>
      </c>
      <c r="W120" s="20">
        <v>0</v>
      </c>
      <c r="X120" s="20">
        <v>415454.34</v>
      </c>
      <c r="Y120" s="20">
        <v>0</v>
      </c>
    </row>
    <row r="121" spans="1:25" ht="15">
      <c r="A121" s="22">
        <f t="shared" si="10"/>
        <v>105</v>
      </c>
      <c r="B121" s="19" t="s">
        <v>305</v>
      </c>
      <c r="C121" s="20">
        <f t="shared" si="11"/>
        <v>51316.83</v>
      </c>
      <c r="D121" s="20">
        <f t="shared" si="12"/>
        <v>17967.7</v>
      </c>
      <c r="E121" s="20"/>
      <c r="F121" s="20"/>
      <c r="G121" s="20">
        <f t="shared" si="13"/>
        <v>34642</v>
      </c>
      <c r="H121" s="20"/>
      <c r="I121" s="20">
        <f t="shared" si="15"/>
        <v>34642.265</v>
      </c>
      <c r="J121" s="20">
        <f t="shared" si="15"/>
        <v>0</v>
      </c>
      <c r="K121" s="20">
        <f t="shared" si="15"/>
        <v>0</v>
      </c>
      <c r="L121" s="20">
        <f t="shared" si="15"/>
        <v>0</v>
      </c>
      <c r="M121" s="20">
        <f t="shared" si="15"/>
        <v>0</v>
      </c>
      <c r="N121" s="20"/>
      <c r="O121" s="20">
        <v>51316.83</v>
      </c>
      <c r="P121" s="20">
        <v>0</v>
      </c>
      <c r="Q121" s="20">
        <v>0</v>
      </c>
      <c r="R121" s="20">
        <v>0</v>
      </c>
      <c r="S121" s="20">
        <v>0</v>
      </c>
      <c r="T121" s="20"/>
      <c r="U121" s="20">
        <v>17967.7</v>
      </c>
      <c r="V121" s="20">
        <v>0</v>
      </c>
      <c r="W121" s="20">
        <v>0</v>
      </c>
      <c r="X121" s="20">
        <v>0</v>
      </c>
      <c r="Y121" s="20">
        <v>0</v>
      </c>
    </row>
    <row r="122" spans="1:25" ht="15">
      <c r="A122" s="22">
        <f t="shared" si="10"/>
        <v>106</v>
      </c>
      <c r="B122" s="19" t="s">
        <v>306</v>
      </c>
      <c r="C122" s="20">
        <f t="shared" si="11"/>
        <v>1283.31</v>
      </c>
      <c r="D122" s="20">
        <f t="shared" si="12"/>
        <v>-0.01</v>
      </c>
      <c r="E122" s="20"/>
      <c r="F122" s="20"/>
      <c r="G122" s="20">
        <f t="shared" si="13"/>
        <v>642</v>
      </c>
      <c r="H122" s="20"/>
      <c r="I122" s="20">
        <f t="shared" si="15"/>
        <v>0</v>
      </c>
      <c r="J122" s="20">
        <f t="shared" si="15"/>
        <v>641.65</v>
      </c>
      <c r="K122" s="20">
        <f t="shared" si="15"/>
        <v>0</v>
      </c>
      <c r="L122" s="20">
        <f t="shared" si="15"/>
        <v>0</v>
      </c>
      <c r="M122" s="20">
        <f t="shared" si="15"/>
        <v>0</v>
      </c>
      <c r="N122" s="20"/>
      <c r="O122" s="20">
        <v>0</v>
      </c>
      <c r="P122" s="20">
        <v>1283.31</v>
      </c>
      <c r="Q122" s="20">
        <v>0</v>
      </c>
      <c r="R122" s="20">
        <v>0</v>
      </c>
      <c r="S122" s="20">
        <v>0</v>
      </c>
      <c r="T122" s="20"/>
      <c r="U122" s="20">
        <v>0</v>
      </c>
      <c r="V122" s="20">
        <v>-0.01</v>
      </c>
      <c r="W122" s="20">
        <v>0</v>
      </c>
      <c r="X122" s="20">
        <v>0</v>
      </c>
      <c r="Y122" s="20">
        <v>0</v>
      </c>
    </row>
    <row r="123" spans="1:25" ht="15">
      <c r="A123" s="22">
        <f t="shared" si="10"/>
        <v>107</v>
      </c>
      <c r="B123" s="19" t="s">
        <v>307</v>
      </c>
      <c r="C123" s="20">
        <f t="shared" si="11"/>
        <v>128309.9</v>
      </c>
      <c r="D123" s="20">
        <f t="shared" si="12"/>
        <v>81984.03</v>
      </c>
      <c r="E123" s="20"/>
      <c r="F123" s="20"/>
      <c r="G123" s="20">
        <f t="shared" si="13"/>
        <v>105147</v>
      </c>
      <c r="H123" s="20"/>
      <c r="I123" s="20">
        <f t="shared" si="15"/>
        <v>0</v>
      </c>
      <c r="J123" s="20">
        <f t="shared" si="15"/>
        <v>105146.965</v>
      </c>
      <c r="K123" s="20">
        <f t="shared" si="15"/>
        <v>0</v>
      </c>
      <c r="L123" s="20">
        <f t="shared" si="15"/>
        <v>0</v>
      </c>
      <c r="M123" s="20">
        <f t="shared" si="15"/>
        <v>0</v>
      </c>
      <c r="N123" s="20"/>
      <c r="O123" s="20">
        <v>0</v>
      </c>
      <c r="P123" s="20">
        <v>128309.9</v>
      </c>
      <c r="Q123" s="20">
        <v>0</v>
      </c>
      <c r="R123" s="20">
        <v>0</v>
      </c>
      <c r="S123" s="20">
        <v>0</v>
      </c>
      <c r="T123" s="20"/>
      <c r="U123" s="20">
        <v>0</v>
      </c>
      <c r="V123" s="20">
        <v>81984.03</v>
      </c>
      <c r="W123" s="20">
        <v>0</v>
      </c>
      <c r="X123" s="20">
        <v>0</v>
      </c>
      <c r="Y123" s="20">
        <v>0</v>
      </c>
    </row>
    <row r="124" spans="1:25" ht="15">
      <c r="A124" s="22">
        <f t="shared" si="10"/>
        <v>108</v>
      </c>
      <c r="B124" s="19" t="s">
        <v>110</v>
      </c>
      <c r="C124" s="20">
        <f t="shared" si="11"/>
        <v>1290741.4500000002</v>
      </c>
      <c r="D124" s="20">
        <f t="shared" si="12"/>
        <v>848201.51</v>
      </c>
      <c r="E124" s="20"/>
      <c r="F124" s="20"/>
      <c r="G124" s="20">
        <f t="shared" si="13"/>
        <v>1069471</v>
      </c>
      <c r="H124" s="20"/>
      <c r="I124" s="20">
        <f t="shared" si="15"/>
        <v>159533.43</v>
      </c>
      <c r="J124" s="20">
        <f t="shared" si="15"/>
        <v>340747.79000000004</v>
      </c>
      <c r="K124" s="20">
        <f t="shared" si="15"/>
        <v>164625.68</v>
      </c>
      <c r="L124" s="20">
        <f t="shared" si="15"/>
        <v>404564.57999999996</v>
      </c>
      <c r="M124" s="20">
        <f t="shared" si="15"/>
        <v>0</v>
      </c>
      <c r="N124" s="20"/>
      <c r="O124" s="20">
        <v>192540.35</v>
      </c>
      <c r="P124" s="20">
        <v>411247.33</v>
      </c>
      <c r="Q124" s="20">
        <v>198686.17</v>
      </c>
      <c r="R124" s="20">
        <v>488267.6</v>
      </c>
      <c r="S124" s="20">
        <v>0</v>
      </c>
      <c r="T124" s="20"/>
      <c r="U124" s="20">
        <v>126526.51</v>
      </c>
      <c r="V124" s="20">
        <v>270248.25</v>
      </c>
      <c r="W124" s="20">
        <v>130565.19</v>
      </c>
      <c r="X124" s="20">
        <v>320861.56</v>
      </c>
      <c r="Y124" s="20">
        <v>0</v>
      </c>
    </row>
    <row r="125" spans="1:25" ht="15">
      <c r="A125" s="22">
        <f t="shared" si="10"/>
        <v>109</v>
      </c>
      <c r="B125" s="19" t="s">
        <v>308</v>
      </c>
      <c r="C125" s="20">
        <f t="shared" si="11"/>
        <v>117413.16</v>
      </c>
      <c r="D125" s="20">
        <f t="shared" si="12"/>
        <v>274072.34</v>
      </c>
      <c r="E125" s="20"/>
      <c r="F125" s="20"/>
      <c r="G125" s="20">
        <f t="shared" si="13"/>
        <v>195743</v>
      </c>
      <c r="H125" s="20"/>
      <c r="I125" s="20">
        <f t="shared" si="15"/>
        <v>0</v>
      </c>
      <c r="J125" s="20">
        <f t="shared" si="15"/>
        <v>195742.75</v>
      </c>
      <c r="K125" s="20">
        <f t="shared" si="15"/>
        <v>0</v>
      </c>
      <c r="L125" s="20">
        <f t="shared" si="15"/>
        <v>0</v>
      </c>
      <c r="M125" s="20">
        <f t="shared" si="15"/>
        <v>0</v>
      </c>
      <c r="N125" s="20"/>
      <c r="O125" s="20">
        <v>0</v>
      </c>
      <c r="P125" s="20">
        <v>117413.16</v>
      </c>
      <c r="Q125" s="20">
        <v>0</v>
      </c>
      <c r="R125" s="20">
        <v>0</v>
      </c>
      <c r="S125" s="20">
        <v>0</v>
      </c>
      <c r="T125" s="20"/>
      <c r="U125" s="20">
        <v>0</v>
      </c>
      <c r="V125" s="20">
        <v>274072.34</v>
      </c>
      <c r="W125" s="20">
        <v>0</v>
      </c>
      <c r="X125" s="20">
        <v>0</v>
      </c>
      <c r="Y125" s="20">
        <v>0</v>
      </c>
    </row>
    <row r="126" spans="1:25" ht="15">
      <c r="A126" s="22">
        <f t="shared" si="10"/>
        <v>110</v>
      </c>
      <c r="B126" s="19" t="s">
        <v>309</v>
      </c>
      <c r="C126" s="20">
        <f t="shared" si="11"/>
        <v>-96673.01</v>
      </c>
      <c r="D126" s="20">
        <f t="shared" si="12"/>
        <v>-172702.83</v>
      </c>
      <c r="E126" s="20"/>
      <c r="F126" s="20"/>
      <c r="G126" s="20">
        <f t="shared" si="13"/>
        <v>-134688</v>
      </c>
      <c r="H126" s="20"/>
      <c r="I126" s="20">
        <f t="shared" si="15"/>
        <v>0</v>
      </c>
      <c r="J126" s="20">
        <f t="shared" si="15"/>
        <v>-134687.91999999998</v>
      </c>
      <c r="K126" s="20">
        <f t="shared" si="15"/>
        <v>0</v>
      </c>
      <c r="L126" s="20">
        <f t="shared" si="15"/>
        <v>0</v>
      </c>
      <c r="M126" s="20">
        <f t="shared" si="15"/>
        <v>0</v>
      </c>
      <c r="N126" s="20"/>
      <c r="O126" s="20">
        <v>0</v>
      </c>
      <c r="P126" s="20">
        <v>-96673.01</v>
      </c>
      <c r="Q126" s="20">
        <v>0</v>
      </c>
      <c r="R126" s="20">
        <v>0</v>
      </c>
      <c r="S126" s="20">
        <v>0</v>
      </c>
      <c r="T126" s="20"/>
      <c r="U126" s="20">
        <v>0</v>
      </c>
      <c r="V126" s="20">
        <v>-172702.83</v>
      </c>
      <c r="W126" s="20">
        <v>0</v>
      </c>
      <c r="X126" s="20">
        <v>0</v>
      </c>
      <c r="Y126" s="20">
        <v>0</v>
      </c>
    </row>
    <row r="127" spans="1:25" ht="15">
      <c r="A127" s="22">
        <f t="shared" si="10"/>
        <v>111</v>
      </c>
      <c r="B127" s="19" t="s">
        <v>310</v>
      </c>
      <c r="C127" s="20">
        <f t="shared" si="11"/>
        <v>254458.12</v>
      </c>
      <c r="D127" s="20">
        <f t="shared" si="12"/>
        <v>454580.18</v>
      </c>
      <c r="E127" s="20"/>
      <c r="F127" s="20"/>
      <c r="G127" s="20">
        <f t="shared" si="13"/>
        <v>354519</v>
      </c>
      <c r="H127" s="20"/>
      <c r="I127" s="20">
        <f aca="true" t="shared" si="16" ref="I127:M142">(+O127+U127)/2</f>
        <v>0</v>
      </c>
      <c r="J127" s="20">
        <f t="shared" si="16"/>
        <v>354519.15</v>
      </c>
      <c r="K127" s="20">
        <f t="shared" si="16"/>
        <v>0</v>
      </c>
      <c r="L127" s="20">
        <f t="shared" si="16"/>
        <v>0</v>
      </c>
      <c r="M127" s="20">
        <f t="shared" si="16"/>
        <v>0</v>
      </c>
      <c r="N127" s="20"/>
      <c r="O127" s="20">
        <v>0</v>
      </c>
      <c r="P127" s="20">
        <v>254458.12</v>
      </c>
      <c r="Q127" s="20">
        <v>0</v>
      </c>
      <c r="R127" s="20">
        <v>0</v>
      </c>
      <c r="S127" s="20">
        <v>0</v>
      </c>
      <c r="T127" s="20"/>
      <c r="U127" s="20">
        <v>0</v>
      </c>
      <c r="V127" s="20">
        <v>454580.18</v>
      </c>
      <c r="W127" s="20">
        <v>0</v>
      </c>
      <c r="X127" s="20">
        <v>0</v>
      </c>
      <c r="Y127" s="20">
        <v>0</v>
      </c>
    </row>
    <row r="128" spans="1:25" ht="15">
      <c r="A128" s="22">
        <f t="shared" si="10"/>
        <v>112</v>
      </c>
      <c r="B128" s="19" t="s">
        <v>311</v>
      </c>
      <c r="C128" s="20">
        <f>SUM(O128:S128)</f>
        <v>0</v>
      </c>
      <c r="D128" s="20">
        <f>SUM(U128:Y128)</f>
        <v>0</v>
      </c>
      <c r="E128" s="20"/>
      <c r="F128" s="20"/>
      <c r="G128" s="20">
        <f>ROUND(SUM(C128:F128)/2,0)</f>
        <v>0</v>
      </c>
      <c r="H128" s="20"/>
      <c r="I128" s="20">
        <f t="shared" si="16"/>
        <v>0</v>
      </c>
      <c r="J128" s="20">
        <f t="shared" si="16"/>
        <v>0</v>
      </c>
      <c r="K128" s="20">
        <f t="shared" si="16"/>
        <v>0</v>
      </c>
      <c r="L128" s="20">
        <f t="shared" si="16"/>
        <v>0</v>
      </c>
      <c r="M128" s="20">
        <f t="shared" si="16"/>
        <v>0</v>
      </c>
      <c r="N128" s="20"/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/>
      <c r="U128" s="20">
        <v>0</v>
      </c>
      <c r="V128" s="20">
        <v>0</v>
      </c>
      <c r="W128" s="20">
        <v>0</v>
      </c>
      <c r="X128" s="20">
        <v>0</v>
      </c>
      <c r="Y128" s="20">
        <v>0</v>
      </c>
    </row>
    <row r="129" spans="1:25" ht="15">
      <c r="A129" s="22">
        <f t="shared" si="10"/>
        <v>113</v>
      </c>
      <c r="B129" s="19" t="s">
        <v>113</v>
      </c>
      <c r="C129" s="20">
        <f>SUM(O129:S129)</f>
        <v>533407.42</v>
      </c>
      <c r="D129" s="20">
        <f>SUM(U129:Y129)</f>
        <v>10070.55</v>
      </c>
      <c r="E129" s="20"/>
      <c r="F129" s="20"/>
      <c r="G129" s="20">
        <f>ROUND(SUM(C129:F129)/2,0)</f>
        <v>271739</v>
      </c>
      <c r="H129" s="20"/>
      <c r="I129" s="20">
        <f t="shared" si="16"/>
        <v>271738.98500000004</v>
      </c>
      <c r="J129" s="20">
        <f t="shared" si="16"/>
        <v>0</v>
      </c>
      <c r="K129" s="20">
        <f t="shared" si="16"/>
        <v>0</v>
      </c>
      <c r="L129" s="20">
        <f t="shared" si="16"/>
        <v>0</v>
      </c>
      <c r="M129" s="20">
        <f t="shared" si="16"/>
        <v>0</v>
      </c>
      <c r="N129" s="20"/>
      <c r="O129" s="20">
        <v>533407.42</v>
      </c>
      <c r="P129" s="20">
        <v>0</v>
      </c>
      <c r="Q129" s="20">
        <v>0</v>
      </c>
      <c r="R129" s="20">
        <v>0</v>
      </c>
      <c r="S129" s="20">
        <v>0</v>
      </c>
      <c r="T129" s="20"/>
      <c r="U129" s="20">
        <v>10070.55</v>
      </c>
      <c r="V129" s="20">
        <v>0</v>
      </c>
      <c r="W129" s="20">
        <v>0</v>
      </c>
      <c r="X129" s="20">
        <v>0</v>
      </c>
      <c r="Y129" s="20">
        <v>0</v>
      </c>
    </row>
    <row r="130" spans="1:25" ht="15">
      <c r="A130" s="22">
        <f t="shared" si="10"/>
        <v>114</v>
      </c>
      <c r="B130" s="19" t="s">
        <v>675</v>
      </c>
      <c r="C130" s="20">
        <f>SUM(O130:S130)</f>
        <v>0</v>
      </c>
      <c r="D130" s="20">
        <f>SUM(U130:Y130)</f>
        <v>178700.86</v>
      </c>
      <c r="E130" s="20"/>
      <c r="F130" s="20"/>
      <c r="G130" s="20">
        <f>ROUND(SUM(C130:F130)/2,0)</f>
        <v>89350</v>
      </c>
      <c r="H130" s="20"/>
      <c r="I130" s="20">
        <f t="shared" si="16"/>
        <v>89350.43</v>
      </c>
      <c r="J130" s="20">
        <f t="shared" si="16"/>
        <v>0</v>
      </c>
      <c r="K130" s="20">
        <f t="shared" si="16"/>
        <v>0</v>
      </c>
      <c r="L130" s="20">
        <f t="shared" si="16"/>
        <v>0</v>
      </c>
      <c r="M130" s="20">
        <f t="shared" si="16"/>
        <v>0</v>
      </c>
      <c r="N130" s="20"/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/>
      <c r="U130" s="20">
        <v>178700.86</v>
      </c>
      <c r="V130" s="20">
        <v>0</v>
      </c>
      <c r="W130" s="20">
        <v>0</v>
      </c>
      <c r="X130" s="20">
        <v>0</v>
      </c>
      <c r="Y130" s="20">
        <v>0</v>
      </c>
    </row>
    <row r="131" spans="1:25" ht="15">
      <c r="A131" s="22">
        <f t="shared" si="10"/>
        <v>115</v>
      </c>
      <c r="B131" s="19" t="s">
        <v>676</v>
      </c>
      <c r="C131" s="20">
        <f>SUM(O131:S131)</f>
        <v>0</v>
      </c>
      <c r="D131" s="20">
        <f>SUM(U131:Y131)</f>
        <v>6388.9</v>
      </c>
      <c r="E131" s="20"/>
      <c r="F131" s="20"/>
      <c r="G131" s="20">
        <f>ROUND(SUM(C131:F131)/2,0)</f>
        <v>3194</v>
      </c>
      <c r="H131" s="20"/>
      <c r="I131" s="20">
        <f t="shared" si="16"/>
        <v>3194.45</v>
      </c>
      <c r="J131" s="20">
        <f t="shared" si="16"/>
        <v>0</v>
      </c>
      <c r="K131" s="20">
        <f t="shared" si="16"/>
        <v>0</v>
      </c>
      <c r="L131" s="20">
        <f t="shared" si="16"/>
        <v>0</v>
      </c>
      <c r="M131" s="20">
        <f t="shared" si="16"/>
        <v>0</v>
      </c>
      <c r="N131" s="20"/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/>
      <c r="U131" s="20">
        <v>6388.9</v>
      </c>
      <c r="V131" s="20">
        <v>0</v>
      </c>
      <c r="W131" s="20">
        <v>0</v>
      </c>
      <c r="X131" s="20">
        <v>0</v>
      </c>
      <c r="Y131" s="20">
        <v>0</v>
      </c>
    </row>
    <row r="132" spans="1:25" ht="15">
      <c r="A132" s="22">
        <f t="shared" si="10"/>
        <v>116</v>
      </c>
      <c r="B132" s="19" t="s">
        <v>677</v>
      </c>
      <c r="C132" s="20">
        <f>SUM(O132:S132)</f>
        <v>0</v>
      </c>
      <c r="D132" s="20">
        <f>SUM(U132:Y132)</f>
        <v>-2462.25</v>
      </c>
      <c r="E132" s="20"/>
      <c r="F132" s="20"/>
      <c r="G132" s="20">
        <f>ROUND(SUM(C132:F132)/2,0)</f>
        <v>-1231</v>
      </c>
      <c r="H132" s="20"/>
      <c r="I132" s="20">
        <f t="shared" si="16"/>
        <v>-1231.125</v>
      </c>
      <c r="J132" s="20">
        <f t="shared" si="16"/>
        <v>0</v>
      </c>
      <c r="K132" s="20">
        <f t="shared" si="16"/>
        <v>0</v>
      </c>
      <c r="L132" s="20">
        <f t="shared" si="16"/>
        <v>0</v>
      </c>
      <c r="M132" s="20">
        <f t="shared" si="16"/>
        <v>0</v>
      </c>
      <c r="N132" s="20"/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/>
      <c r="U132" s="20">
        <v>-2462.25</v>
      </c>
      <c r="V132" s="20">
        <v>0</v>
      </c>
      <c r="W132" s="20">
        <v>0</v>
      </c>
      <c r="X132" s="20">
        <v>0</v>
      </c>
      <c r="Y132" s="20">
        <v>0</v>
      </c>
    </row>
    <row r="133" spans="1:25" ht="15">
      <c r="A133" s="22">
        <f t="shared" si="10"/>
        <v>117</v>
      </c>
      <c r="B133" s="19" t="s">
        <v>678</v>
      </c>
      <c r="C133" s="20">
        <f aca="true" t="shared" si="17" ref="C133:C142">SUM(O133:S133)</f>
        <v>0</v>
      </c>
      <c r="D133" s="20">
        <f aca="true" t="shared" si="18" ref="D133:D142">SUM(U133:Y133)</f>
        <v>2536960.37</v>
      </c>
      <c r="E133" s="20"/>
      <c r="F133" s="20"/>
      <c r="G133" s="20">
        <f aca="true" t="shared" si="19" ref="G133:G169">ROUND(SUM(C133:F133)/2,0)</f>
        <v>1268480</v>
      </c>
      <c r="H133" s="20"/>
      <c r="I133" s="20">
        <f t="shared" si="16"/>
        <v>0</v>
      </c>
      <c r="J133" s="20">
        <f t="shared" si="16"/>
        <v>1268480.185</v>
      </c>
      <c r="K133" s="20">
        <f t="shared" si="16"/>
        <v>0</v>
      </c>
      <c r="L133" s="20">
        <f t="shared" si="16"/>
        <v>0</v>
      </c>
      <c r="M133" s="20">
        <f t="shared" si="16"/>
        <v>0</v>
      </c>
      <c r="N133" s="20"/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/>
      <c r="U133" s="20">
        <v>0</v>
      </c>
      <c r="V133" s="20">
        <v>2536960.37</v>
      </c>
      <c r="W133" s="20">
        <v>0</v>
      </c>
      <c r="X133" s="20">
        <v>0</v>
      </c>
      <c r="Y133" s="20">
        <v>0</v>
      </c>
    </row>
    <row r="134" spans="1:25" ht="15">
      <c r="A134" s="22">
        <f t="shared" si="10"/>
        <v>118</v>
      </c>
      <c r="B134" s="19" t="s">
        <v>679</v>
      </c>
      <c r="C134" s="20">
        <f t="shared" si="17"/>
        <v>0</v>
      </c>
      <c r="D134" s="20">
        <f t="shared" si="18"/>
        <v>10339.77</v>
      </c>
      <c r="E134" s="20"/>
      <c r="F134" s="20"/>
      <c r="G134" s="20">
        <f t="shared" si="19"/>
        <v>5170</v>
      </c>
      <c r="H134" s="20"/>
      <c r="I134" s="20">
        <f t="shared" si="16"/>
        <v>0</v>
      </c>
      <c r="J134" s="20">
        <f t="shared" si="16"/>
        <v>5169.885</v>
      </c>
      <c r="K134" s="20">
        <f t="shared" si="16"/>
        <v>0</v>
      </c>
      <c r="L134" s="20">
        <f t="shared" si="16"/>
        <v>0</v>
      </c>
      <c r="M134" s="20">
        <f t="shared" si="16"/>
        <v>0</v>
      </c>
      <c r="N134" s="20"/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/>
      <c r="U134" s="20">
        <v>0</v>
      </c>
      <c r="V134" s="20">
        <v>10339.77</v>
      </c>
      <c r="W134" s="20">
        <v>0</v>
      </c>
      <c r="X134" s="20">
        <v>0</v>
      </c>
      <c r="Y134" s="20">
        <v>0</v>
      </c>
    </row>
    <row r="135" spans="1:25" ht="15">
      <c r="A135" s="22">
        <f t="shared" si="10"/>
        <v>119</v>
      </c>
      <c r="B135" s="19" t="s">
        <v>680</v>
      </c>
      <c r="C135" s="20">
        <f t="shared" si="17"/>
        <v>0</v>
      </c>
      <c r="D135" s="20">
        <f t="shared" si="18"/>
        <v>75582.79</v>
      </c>
      <c r="E135" s="20"/>
      <c r="F135" s="20"/>
      <c r="G135" s="20">
        <f t="shared" si="19"/>
        <v>37791</v>
      </c>
      <c r="H135" s="20"/>
      <c r="I135" s="20">
        <f t="shared" si="16"/>
        <v>0</v>
      </c>
      <c r="J135" s="20">
        <f t="shared" si="16"/>
        <v>37791.395</v>
      </c>
      <c r="K135" s="20">
        <f t="shared" si="16"/>
        <v>0</v>
      </c>
      <c r="L135" s="20">
        <f t="shared" si="16"/>
        <v>0</v>
      </c>
      <c r="M135" s="20">
        <f t="shared" si="16"/>
        <v>0</v>
      </c>
      <c r="N135" s="20"/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/>
      <c r="U135" s="20">
        <v>0</v>
      </c>
      <c r="V135" s="20">
        <v>75582.79</v>
      </c>
      <c r="W135" s="20">
        <v>0</v>
      </c>
      <c r="X135" s="20">
        <v>0</v>
      </c>
      <c r="Y135" s="20">
        <v>0</v>
      </c>
    </row>
    <row r="136" spans="1:25" ht="15">
      <c r="A136" s="22">
        <f t="shared" si="10"/>
        <v>120</v>
      </c>
      <c r="B136" s="19" t="s">
        <v>681</v>
      </c>
      <c r="C136" s="20">
        <f t="shared" si="17"/>
        <v>0</v>
      </c>
      <c r="D136" s="20">
        <f t="shared" si="18"/>
        <v>-28715.21</v>
      </c>
      <c r="E136" s="20"/>
      <c r="F136" s="20"/>
      <c r="G136" s="20">
        <f t="shared" si="19"/>
        <v>-14358</v>
      </c>
      <c r="H136" s="20"/>
      <c r="I136" s="20">
        <f t="shared" si="16"/>
        <v>0</v>
      </c>
      <c r="J136" s="20">
        <f t="shared" si="16"/>
        <v>-14357.605</v>
      </c>
      <c r="K136" s="20">
        <f t="shared" si="16"/>
        <v>0</v>
      </c>
      <c r="L136" s="20">
        <f t="shared" si="16"/>
        <v>0</v>
      </c>
      <c r="M136" s="20">
        <f t="shared" si="16"/>
        <v>0</v>
      </c>
      <c r="N136" s="20"/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/>
      <c r="U136" s="20">
        <v>0</v>
      </c>
      <c r="V136" s="20">
        <v>-28715.21</v>
      </c>
      <c r="W136" s="20">
        <v>0</v>
      </c>
      <c r="X136" s="20">
        <v>0</v>
      </c>
      <c r="Y136" s="20">
        <v>0</v>
      </c>
    </row>
    <row r="137" spans="1:25" ht="15">
      <c r="A137" s="22">
        <f t="shared" si="10"/>
        <v>121</v>
      </c>
      <c r="B137" s="19" t="s">
        <v>682</v>
      </c>
      <c r="C137" s="20">
        <f t="shared" si="17"/>
        <v>0</v>
      </c>
      <c r="D137" s="20">
        <f t="shared" si="18"/>
        <v>-353530.23</v>
      </c>
      <c r="E137" s="20"/>
      <c r="F137" s="20"/>
      <c r="G137" s="20">
        <f t="shared" si="19"/>
        <v>-176765</v>
      </c>
      <c r="H137" s="20"/>
      <c r="I137" s="20">
        <f t="shared" si="16"/>
        <v>0</v>
      </c>
      <c r="J137" s="20">
        <f t="shared" si="16"/>
        <v>-176765.115</v>
      </c>
      <c r="K137" s="20">
        <f t="shared" si="16"/>
        <v>0</v>
      </c>
      <c r="L137" s="20">
        <f t="shared" si="16"/>
        <v>0</v>
      </c>
      <c r="M137" s="20">
        <f t="shared" si="16"/>
        <v>0</v>
      </c>
      <c r="N137" s="20"/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/>
      <c r="U137" s="20">
        <v>0</v>
      </c>
      <c r="V137" s="20">
        <v>-353530.23</v>
      </c>
      <c r="W137" s="20">
        <v>0</v>
      </c>
      <c r="X137" s="20">
        <v>0</v>
      </c>
      <c r="Y137" s="20">
        <v>0</v>
      </c>
    </row>
    <row r="138" spans="1:25" ht="15">
      <c r="A138" s="22">
        <f t="shared" si="10"/>
        <v>122</v>
      </c>
      <c r="B138" s="19" t="s">
        <v>683</v>
      </c>
      <c r="C138" s="20">
        <f t="shared" si="17"/>
        <v>0</v>
      </c>
      <c r="D138" s="20">
        <f t="shared" si="18"/>
        <v>1005773.41</v>
      </c>
      <c r="E138" s="20"/>
      <c r="F138" s="20"/>
      <c r="G138" s="20">
        <f t="shared" si="19"/>
        <v>502887</v>
      </c>
      <c r="H138" s="20"/>
      <c r="I138" s="20">
        <f t="shared" si="16"/>
        <v>0</v>
      </c>
      <c r="J138" s="20">
        <f t="shared" si="16"/>
        <v>502886.705</v>
      </c>
      <c r="K138" s="20">
        <f t="shared" si="16"/>
        <v>0</v>
      </c>
      <c r="L138" s="20">
        <f t="shared" si="16"/>
        <v>0</v>
      </c>
      <c r="M138" s="20">
        <f t="shared" si="16"/>
        <v>0</v>
      </c>
      <c r="N138" s="20"/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/>
      <c r="U138" s="20">
        <v>0</v>
      </c>
      <c r="V138" s="20">
        <v>1005773.41</v>
      </c>
      <c r="W138" s="20">
        <v>0</v>
      </c>
      <c r="X138" s="20">
        <v>0</v>
      </c>
      <c r="Y138" s="20">
        <v>0</v>
      </c>
    </row>
    <row r="139" spans="1:25" ht="15">
      <c r="A139" s="22">
        <f t="shared" si="10"/>
        <v>123</v>
      </c>
      <c r="B139" s="19" t="s">
        <v>684</v>
      </c>
      <c r="C139" s="20">
        <f t="shared" si="17"/>
        <v>0</v>
      </c>
      <c r="D139" s="20">
        <f t="shared" si="18"/>
        <v>-525145.24</v>
      </c>
      <c r="E139" s="20"/>
      <c r="F139" s="20"/>
      <c r="G139" s="20">
        <f t="shared" si="19"/>
        <v>-262573</v>
      </c>
      <c r="H139" s="20"/>
      <c r="I139" s="20">
        <f t="shared" si="16"/>
        <v>0</v>
      </c>
      <c r="J139" s="20">
        <f t="shared" si="16"/>
        <v>-262572.62</v>
      </c>
      <c r="K139" s="20">
        <f t="shared" si="16"/>
        <v>0</v>
      </c>
      <c r="L139" s="20">
        <f t="shared" si="16"/>
        <v>0</v>
      </c>
      <c r="M139" s="20">
        <f t="shared" si="16"/>
        <v>0</v>
      </c>
      <c r="N139" s="20"/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/>
      <c r="U139" s="20">
        <v>0</v>
      </c>
      <c r="V139" s="20">
        <v>-525145.24</v>
      </c>
      <c r="W139" s="20">
        <v>0</v>
      </c>
      <c r="X139" s="20">
        <v>0</v>
      </c>
      <c r="Y139" s="20">
        <v>0</v>
      </c>
    </row>
    <row r="140" spans="1:25" ht="15">
      <c r="A140" s="22">
        <f t="shared" si="10"/>
        <v>124</v>
      </c>
      <c r="B140" s="19" t="s">
        <v>685</v>
      </c>
      <c r="C140" s="20">
        <f t="shared" si="17"/>
        <v>0</v>
      </c>
      <c r="D140" s="20">
        <f t="shared" si="18"/>
        <v>1355689.9</v>
      </c>
      <c r="E140" s="20"/>
      <c r="F140" s="20"/>
      <c r="G140" s="20">
        <f t="shared" si="19"/>
        <v>677845</v>
      </c>
      <c r="H140" s="20"/>
      <c r="I140" s="20">
        <f t="shared" si="16"/>
        <v>0</v>
      </c>
      <c r="J140" s="20">
        <f t="shared" si="16"/>
        <v>677844.95</v>
      </c>
      <c r="K140" s="20">
        <f t="shared" si="16"/>
        <v>0</v>
      </c>
      <c r="L140" s="20">
        <f t="shared" si="16"/>
        <v>0</v>
      </c>
      <c r="M140" s="20">
        <f t="shared" si="16"/>
        <v>0</v>
      </c>
      <c r="N140" s="20"/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/>
      <c r="U140" s="20">
        <v>0</v>
      </c>
      <c r="V140" s="20">
        <v>1355689.9</v>
      </c>
      <c r="W140" s="20">
        <v>0</v>
      </c>
      <c r="X140" s="20">
        <v>0</v>
      </c>
      <c r="Y140" s="20">
        <v>0</v>
      </c>
    </row>
    <row r="141" spans="1:25" ht="15">
      <c r="A141" s="22">
        <f t="shared" si="10"/>
        <v>125</v>
      </c>
      <c r="B141" s="19" t="s">
        <v>686</v>
      </c>
      <c r="C141" s="20">
        <f t="shared" si="17"/>
        <v>0</v>
      </c>
      <c r="D141" s="20">
        <f t="shared" si="18"/>
        <v>81741.49</v>
      </c>
      <c r="E141" s="20"/>
      <c r="F141" s="20"/>
      <c r="G141" s="20">
        <f t="shared" si="19"/>
        <v>40871</v>
      </c>
      <c r="H141" s="20"/>
      <c r="I141" s="20">
        <f t="shared" si="16"/>
        <v>0</v>
      </c>
      <c r="J141" s="20">
        <f t="shared" si="16"/>
        <v>40870.745</v>
      </c>
      <c r="K141" s="20">
        <f t="shared" si="16"/>
        <v>0</v>
      </c>
      <c r="L141" s="20">
        <f t="shared" si="16"/>
        <v>0</v>
      </c>
      <c r="M141" s="20">
        <f t="shared" si="16"/>
        <v>0</v>
      </c>
      <c r="N141" s="20"/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/>
      <c r="U141" s="20">
        <v>0</v>
      </c>
      <c r="V141" s="20">
        <v>81741.49</v>
      </c>
      <c r="W141" s="20">
        <v>0</v>
      </c>
      <c r="X141" s="20">
        <v>0</v>
      </c>
      <c r="Y141" s="20">
        <v>0</v>
      </c>
    </row>
    <row r="142" spans="1:25" ht="15">
      <c r="A142" s="22">
        <f t="shared" si="10"/>
        <v>126</v>
      </c>
      <c r="B142" s="19" t="s">
        <v>687</v>
      </c>
      <c r="C142" s="20">
        <f t="shared" si="17"/>
        <v>0</v>
      </c>
      <c r="D142" s="20">
        <f t="shared" si="18"/>
        <v>520201.85</v>
      </c>
      <c r="E142" s="20"/>
      <c r="F142" s="20"/>
      <c r="G142" s="20">
        <f t="shared" si="19"/>
        <v>260101</v>
      </c>
      <c r="H142" s="20"/>
      <c r="I142" s="20">
        <f t="shared" si="16"/>
        <v>0</v>
      </c>
      <c r="J142" s="20">
        <f t="shared" si="16"/>
        <v>260100.925</v>
      </c>
      <c r="K142" s="20">
        <f t="shared" si="16"/>
        <v>0</v>
      </c>
      <c r="L142" s="20">
        <f t="shared" si="16"/>
        <v>0</v>
      </c>
      <c r="M142" s="20">
        <f t="shared" si="16"/>
        <v>0</v>
      </c>
      <c r="N142" s="20"/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/>
      <c r="U142" s="20">
        <v>0</v>
      </c>
      <c r="V142" s="20">
        <v>520201.85</v>
      </c>
      <c r="W142" s="20">
        <v>0</v>
      </c>
      <c r="X142" s="20">
        <v>0</v>
      </c>
      <c r="Y142" s="20">
        <v>0</v>
      </c>
    </row>
    <row r="143" spans="1:25" ht="15">
      <c r="A143" s="22">
        <f t="shared" si="10"/>
        <v>127</v>
      </c>
      <c r="B143" s="19" t="s">
        <v>688</v>
      </c>
      <c r="C143" s="20">
        <f>SUM(O143:S143)</f>
        <v>0</v>
      </c>
      <c r="D143" s="20">
        <f>SUM(U143:Y143)</f>
        <v>7680754.42</v>
      </c>
      <c r="E143" s="20"/>
      <c r="F143" s="20"/>
      <c r="G143" s="20">
        <f t="shared" si="19"/>
        <v>3840377</v>
      </c>
      <c r="H143" s="20"/>
      <c r="I143" s="20">
        <f aca="true" t="shared" si="20" ref="I143:M158">(+O143+U143)/2</f>
        <v>3840377.21</v>
      </c>
      <c r="J143" s="20">
        <f t="shared" si="20"/>
        <v>0</v>
      </c>
      <c r="K143" s="20">
        <f t="shared" si="20"/>
        <v>0</v>
      </c>
      <c r="L143" s="20">
        <f t="shared" si="20"/>
        <v>0</v>
      </c>
      <c r="M143" s="20">
        <f t="shared" si="20"/>
        <v>0</v>
      </c>
      <c r="N143" s="20"/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/>
      <c r="U143" s="20">
        <v>7680754.42</v>
      </c>
      <c r="V143" s="20">
        <v>0</v>
      </c>
      <c r="W143" s="20">
        <v>0</v>
      </c>
      <c r="X143" s="20">
        <v>0</v>
      </c>
      <c r="Y143" s="20">
        <v>0</v>
      </c>
    </row>
    <row r="144" spans="1:25" ht="15">
      <c r="A144" s="22">
        <f t="shared" si="10"/>
        <v>128</v>
      </c>
      <c r="B144" s="19" t="s">
        <v>124</v>
      </c>
      <c r="C144" s="20">
        <f>SUM(O144:S144)</f>
        <v>9926010.649999999</v>
      </c>
      <c r="D144" s="20">
        <f>SUM(U144:Y144)</f>
        <v>10096597.1</v>
      </c>
      <c r="E144" s="20"/>
      <c r="F144" s="20"/>
      <c r="G144" s="20">
        <f t="shared" si="19"/>
        <v>10011304</v>
      </c>
      <c r="H144" s="20"/>
      <c r="I144" s="20">
        <f t="shared" si="20"/>
        <v>8394713.425</v>
      </c>
      <c r="J144" s="20">
        <f t="shared" si="20"/>
        <v>644210.7</v>
      </c>
      <c r="K144" s="20">
        <f t="shared" si="20"/>
        <v>87304.7</v>
      </c>
      <c r="L144" s="20">
        <f t="shared" si="20"/>
        <v>885075.05</v>
      </c>
      <c r="M144" s="20">
        <f t="shared" si="20"/>
        <v>0</v>
      </c>
      <c r="N144" s="20"/>
      <c r="O144" s="20">
        <v>8581853.7</v>
      </c>
      <c r="P144" s="20">
        <v>435720.6</v>
      </c>
      <c r="Q144" s="20">
        <v>88281.2</v>
      </c>
      <c r="R144" s="20">
        <v>820155.15</v>
      </c>
      <c r="S144" s="20">
        <v>0</v>
      </c>
      <c r="T144" s="20"/>
      <c r="U144" s="20">
        <v>8207573.15</v>
      </c>
      <c r="V144" s="20">
        <v>852700.8</v>
      </c>
      <c r="W144" s="20">
        <v>86328.2</v>
      </c>
      <c r="X144" s="20">
        <v>949994.95</v>
      </c>
      <c r="Y144" s="20">
        <v>0</v>
      </c>
    </row>
    <row r="145" spans="1:25" ht="15">
      <c r="A145" s="22">
        <f t="shared" si="10"/>
        <v>129</v>
      </c>
      <c r="B145" s="10" t="s">
        <v>312</v>
      </c>
      <c r="C145" s="20">
        <f aca="true" t="shared" si="21" ref="C145:C164">SUM(O145:S145)</f>
        <v>9361105.530000001</v>
      </c>
      <c r="D145" s="20">
        <f aca="true" t="shared" si="22" ref="D145:D164">SUM(U145:Y145)</f>
        <v>9850803.129999999</v>
      </c>
      <c r="E145" s="20"/>
      <c r="F145" s="20"/>
      <c r="G145" s="20">
        <f t="shared" si="19"/>
        <v>9605954</v>
      </c>
      <c r="H145" s="20"/>
      <c r="I145" s="20">
        <f t="shared" si="20"/>
        <v>1711906.555</v>
      </c>
      <c r="J145" s="20">
        <f t="shared" si="20"/>
        <v>3802831.575</v>
      </c>
      <c r="K145" s="20">
        <f t="shared" si="20"/>
        <v>1215952.685</v>
      </c>
      <c r="L145" s="20">
        <f t="shared" si="20"/>
        <v>2875263.515</v>
      </c>
      <c r="M145" s="20">
        <f t="shared" si="20"/>
        <v>0</v>
      </c>
      <c r="N145" s="20"/>
      <c r="O145" s="20">
        <v>1748170.93</v>
      </c>
      <c r="P145" s="20">
        <v>3733589.85</v>
      </c>
      <c r="Q145" s="20">
        <v>1175645.46</v>
      </c>
      <c r="R145" s="20">
        <v>2703699.29</v>
      </c>
      <c r="S145" s="20">
        <v>0</v>
      </c>
      <c r="T145" s="20"/>
      <c r="U145" s="20">
        <v>1675642.18</v>
      </c>
      <c r="V145" s="20">
        <v>3872073.3</v>
      </c>
      <c r="W145" s="20">
        <v>1256259.91</v>
      </c>
      <c r="X145" s="20">
        <v>3046827.74</v>
      </c>
      <c r="Y145" s="20">
        <v>0</v>
      </c>
    </row>
    <row r="146" spans="1:25" ht="15">
      <c r="A146" s="22">
        <f aca="true" t="shared" si="23" ref="A146:A192">A145+1</f>
        <v>130</v>
      </c>
      <c r="B146" s="10" t="s">
        <v>313</v>
      </c>
      <c r="C146" s="20">
        <f t="shared" si="21"/>
        <v>115140739</v>
      </c>
      <c r="D146" s="20">
        <f t="shared" si="22"/>
        <v>140081976.29</v>
      </c>
      <c r="E146" s="20"/>
      <c r="F146" s="20"/>
      <c r="G146" s="20">
        <f t="shared" si="19"/>
        <v>127611358</v>
      </c>
      <c r="H146" s="20"/>
      <c r="I146" s="20">
        <f t="shared" si="20"/>
        <v>0</v>
      </c>
      <c r="J146" s="20">
        <f t="shared" si="20"/>
        <v>127611357.645</v>
      </c>
      <c r="K146" s="20">
        <f t="shared" si="20"/>
        <v>0</v>
      </c>
      <c r="L146" s="20">
        <f t="shared" si="20"/>
        <v>0</v>
      </c>
      <c r="M146" s="20">
        <f t="shared" si="20"/>
        <v>0</v>
      </c>
      <c r="N146" s="20"/>
      <c r="O146" s="20">
        <v>0</v>
      </c>
      <c r="P146" s="25">
        <v>115140739</v>
      </c>
      <c r="Q146" s="20">
        <v>0</v>
      </c>
      <c r="R146" s="20">
        <v>0</v>
      </c>
      <c r="S146" s="20">
        <v>0</v>
      </c>
      <c r="T146" s="20"/>
      <c r="U146" s="20">
        <v>0</v>
      </c>
      <c r="V146" s="25">
        <v>140081976.29</v>
      </c>
      <c r="W146" s="20">
        <v>0</v>
      </c>
      <c r="X146" s="20">
        <v>0</v>
      </c>
      <c r="Y146" s="20">
        <v>0</v>
      </c>
    </row>
    <row r="147" spans="1:25" ht="15">
      <c r="A147" s="22">
        <f t="shared" si="23"/>
        <v>131</v>
      </c>
      <c r="B147" s="19" t="s">
        <v>314</v>
      </c>
      <c r="C147" s="20">
        <f t="shared" si="21"/>
        <v>-95616550.93</v>
      </c>
      <c r="D147" s="20">
        <f t="shared" si="22"/>
        <v>-124739483.08</v>
      </c>
      <c r="E147" s="20"/>
      <c r="F147" s="20"/>
      <c r="G147" s="20">
        <f t="shared" si="19"/>
        <v>-110178017</v>
      </c>
      <c r="H147" s="20"/>
      <c r="I147" s="20">
        <f t="shared" si="20"/>
        <v>0</v>
      </c>
      <c r="J147" s="20">
        <f t="shared" si="20"/>
        <v>-110178017.005</v>
      </c>
      <c r="K147" s="20">
        <f t="shared" si="20"/>
        <v>0</v>
      </c>
      <c r="L147" s="20">
        <f t="shared" si="20"/>
        <v>0</v>
      </c>
      <c r="M147" s="20">
        <f t="shared" si="20"/>
        <v>0</v>
      </c>
      <c r="N147" s="20"/>
      <c r="O147" s="20">
        <v>0</v>
      </c>
      <c r="P147" s="20">
        <v>-95616550.93</v>
      </c>
      <c r="Q147" s="20">
        <v>0</v>
      </c>
      <c r="R147" s="20">
        <v>0</v>
      </c>
      <c r="S147" s="20">
        <v>0</v>
      </c>
      <c r="T147" s="20"/>
      <c r="U147" s="20">
        <v>0</v>
      </c>
      <c r="V147" s="20">
        <v>-124739483.08</v>
      </c>
      <c r="W147" s="20">
        <v>0</v>
      </c>
      <c r="X147" s="20">
        <v>0</v>
      </c>
      <c r="Y147" s="20">
        <v>0</v>
      </c>
    </row>
    <row r="148" spans="1:25" ht="15">
      <c r="A148" s="22">
        <f t="shared" si="23"/>
        <v>132</v>
      </c>
      <c r="B148" s="10" t="s">
        <v>315</v>
      </c>
      <c r="C148" s="20">
        <f t="shared" si="21"/>
        <v>122438186.31</v>
      </c>
      <c r="D148" s="20">
        <f t="shared" si="22"/>
        <v>155162825.81</v>
      </c>
      <c r="E148" s="20"/>
      <c r="F148" s="20"/>
      <c r="G148" s="20">
        <f t="shared" si="19"/>
        <v>138800506</v>
      </c>
      <c r="H148" s="20"/>
      <c r="I148" s="20">
        <f t="shared" si="20"/>
        <v>0</v>
      </c>
      <c r="J148" s="20">
        <f t="shared" si="20"/>
        <v>138800506.06</v>
      </c>
      <c r="K148" s="20">
        <f t="shared" si="20"/>
        <v>0</v>
      </c>
      <c r="L148" s="20">
        <f t="shared" si="20"/>
        <v>0</v>
      </c>
      <c r="M148" s="20">
        <f t="shared" si="20"/>
        <v>0</v>
      </c>
      <c r="N148" s="20"/>
      <c r="O148" s="20">
        <v>0</v>
      </c>
      <c r="P148" s="20">
        <v>122438186.31</v>
      </c>
      <c r="Q148" s="20">
        <v>0</v>
      </c>
      <c r="R148" s="20">
        <v>0</v>
      </c>
      <c r="S148" s="20">
        <v>0</v>
      </c>
      <c r="T148" s="20"/>
      <c r="U148" s="20">
        <v>0</v>
      </c>
      <c r="V148" s="20">
        <v>155162825.81</v>
      </c>
      <c r="W148" s="20">
        <v>0</v>
      </c>
      <c r="X148" s="20">
        <v>0</v>
      </c>
      <c r="Y148" s="20">
        <v>0</v>
      </c>
    </row>
    <row r="149" spans="1:25" ht="15">
      <c r="A149" s="22">
        <f t="shared" si="23"/>
        <v>133</v>
      </c>
      <c r="B149" s="19" t="s">
        <v>316</v>
      </c>
      <c r="C149" s="20">
        <f t="shared" si="21"/>
        <v>-113699283.49</v>
      </c>
      <c r="D149" s="20">
        <f t="shared" si="22"/>
        <v>-137736697.75</v>
      </c>
      <c r="E149" s="20"/>
      <c r="F149" s="20"/>
      <c r="G149" s="20">
        <f t="shared" si="19"/>
        <v>-125717991</v>
      </c>
      <c r="H149" s="20"/>
      <c r="I149" s="20">
        <f t="shared" si="20"/>
        <v>0</v>
      </c>
      <c r="J149" s="20">
        <f t="shared" si="20"/>
        <v>-125717990.62</v>
      </c>
      <c r="K149" s="20">
        <f t="shared" si="20"/>
        <v>0</v>
      </c>
      <c r="L149" s="20">
        <f t="shared" si="20"/>
        <v>0</v>
      </c>
      <c r="M149" s="20">
        <f t="shared" si="20"/>
        <v>0</v>
      </c>
      <c r="N149" s="20"/>
      <c r="O149" s="20">
        <v>0</v>
      </c>
      <c r="P149" s="20">
        <v>-113699283.49</v>
      </c>
      <c r="Q149" s="20">
        <v>0</v>
      </c>
      <c r="R149" s="20">
        <v>0</v>
      </c>
      <c r="S149" s="20">
        <v>0</v>
      </c>
      <c r="T149" s="20"/>
      <c r="U149" s="20">
        <v>0</v>
      </c>
      <c r="V149" s="20">
        <v>-137736697.75</v>
      </c>
      <c r="W149" s="20">
        <v>0</v>
      </c>
      <c r="X149" s="20">
        <v>0</v>
      </c>
      <c r="Y149" s="20">
        <v>0</v>
      </c>
    </row>
    <row r="150" spans="1:25" ht="15">
      <c r="A150" s="22">
        <f t="shared" si="23"/>
        <v>134</v>
      </c>
      <c r="B150" s="19" t="s">
        <v>317</v>
      </c>
      <c r="C150" s="20">
        <f t="shared" si="21"/>
        <v>489606828.51</v>
      </c>
      <c r="D150" s="20">
        <f t="shared" si="22"/>
        <v>568291673.32</v>
      </c>
      <c r="E150" s="20"/>
      <c r="F150" s="20"/>
      <c r="G150" s="20">
        <f t="shared" si="19"/>
        <v>528949251</v>
      </c>
      <c r="H150" s="20"/>
      <c r="I150" s="20">
        <f t="shared" si="20"/>
        <v>0</v>
      </c>
      <c r="J150" s="20">
        <f t="shared" si="20"/>
        <v>528949250.915</v>
      </c>
      <c r="K150" s="20">
        <f t="shared" si="20"/>
        <v>0</v>
      </c>
      <c r="L150" s="20">
        <f t="shared" si="20"/>
        <v>0</v>
      </c>
      <c r="M150" s="20">
        <f t="shared" si="20"/>
        <v>0</v>
      </c>
      <c r="N150" s="20"/>
      <c r="O150" s="20">
        <v>0</v>
      </c>
      <c r="P150" s="20">
        <v>489606828.51</v>
      </c>
      <c r="Q150" s="20">
        <v>0</v>
      </c>
      <c r="R150" s="20">
        <v>0</v>
      </c>
      <c r="S150" s="20">
        <v>0</v>
      </c>
      <c r="T150" s="20"/>
      <c r="U150" s="20">
        <v>0</v>
      </c>
      <c r="V150" s="20">
        <v>568291673.32</v>
      </c>
      <c r="W150" s="20">
        <v>0</v>
      </c>
      <c r="X150" s="20">
        <v>0</v>
      </c>
      <c r="Y150" s="20">
        <v>0</v>
      </c>
    </row>
    <row r="151" spans="1:25" ht="15">
      <c r="A151" s="22">
        <f t="shared" si="23"/>
        <v>135</v>
      </c>
      <c r="B151" s="10" t="s">
        <v>318</v>
      </c>
      <c r="C151" s="20">
        <f t="shared" si="21"/>
        <v>2921105.81</v>
      </c>
      <c r="D151" s="20">
        <f t="shared" si="22"/>
        <v>8088963.9</v>
      </c>
      <c r="E151" s="20"/>
      <c r="F151" s="20"/>
      <c r="G151" s="20">
        <f t="shared" si="19"/>
        <v>5505035</v>
      </c>
      <c r="H151" s="20"/>
      <c r="I151" s="20">
        <f t="shared" si="20"/>
        <v>0</v>
      </c>
      <c r="J151" s="20">
        <f t="shared" si="20"/>
        <v>5505034.855</v>
      </c>
      <c r="K151" s="20">
        <f t="shared" si="20"/>
        <v>0</v>
      </c>
      <c r="L151" s="20">
        <f t="shared" si="20"/>
        <v>0</v>
      </c>
      <c r="M151" s="20">
        <f t="shared" si="20"/>
        <v>0</v>
      </c>
      <c r="N151" s="20"/>
      <c r="O151" s="20">
        <v>0</v>
      </c>
      <c r="P151" s="20">
        <v>2921105.81</v>
      </c>
      <c r="Q151" s="20">
        <v>0</v>
      </c>
      <c r="R151" s="20">
        <v>0</v>
      </c>
      <c r="S151" s="20">
        <v>0</v>
      </c>
      <c r="T151" s="20"/>
      <c r="U151" s="20">
        <v>0</v>
      </c>
      <c r="V151" s="20">
        <v>8088963.9</v>
      </c>
      <c r="W151" s="20">
        <v>0</v>
      </c>
      <c r="X151" s="20">
        <v>0</v>
      </c>
      <c r="Y151" s="20">
        <v>0</v>
      </c>
    </row>
    <row r="152" spans="1:25" ht="15">
      <c r="A152" s="22">
        <f t="shared" si="23"/>
        <v>136</v>
      </c>
      <c r="B152" s="10" t="s">
        <v>319</v>
      </c>
      <c r="C152" s="20">
        <f t="shared" si="21"/>
        <v>6406972.81</v>
      </c>
      <c r="D152" s="20">
        <f t="shared" si="22"/>
        <v>12203767.57</v>
      </c>
      <c r="E152" s="20"/>
      <c r="F152" s="20"/>
      <c r="G152" s="20">
        <f t="shared" si="19"/>
        <v>9305370</v>
      </c>
      <c r="H152" s="20"/>
      <c r="I152" s="20">
        <f t="shared" si="20"/>
        <v>0</v>
      </c>
      <c r="J152" s="20">
        <f t="shared" si="20"/>
        <v>9305370.19</v>
      </c>
      <c r="K152" s="20">
        <f t="shared" si="20"/>
        <v>0</v>
      </c>
      <c r="L152" s="20">
        <f t="shared" si="20"/>
        <v>0</v>
      </c>
      <c r="M152" s="20">
        <f t="shared" si="20"/>
        <v>0</v>
      </c>
      <c r="N152" s="20"/>
      <c r="O152" s="20">
        <v>0</v>
      </c>
      <c r="P152" s="20">
        <v>6406972.81</v>
      </c>
      <c r="Q152" s="20">
        <v>0</v>
      </c>
      <c r="R152" s="20">
        <v>0</v>
      </c>
      <c r="S152" s="20">
        <v>0</v>
      </c>
      <c r="T152" s="20"/>
      <c r="U152" s="20">
        <v>0</v>
      </c>
      <c r="V152" s="20">
        <v>12203767.57</v>
      </c>
      <c r="W152" s="20">
        <v>0</v>
      </c>
      <c r="X152" s="20">
        <v>0</v>
      </c>
      <c r="Y152" s="20">
        <v>0</v>
      </c>
    </row>
    <row r="153" spans="1:25" ht="15">
      <c r="A153" s="22">
        <f t="shared" si="23"/>
        <v>137</v>
      </c>
      <c r="B153" s="10" t="s">
        <v>320</v>
      </c>
      <c r="C153" s="20">
        <f t="shared" si="21"/>
        <v>-0.15</v>
      </c>
      <c r="D153" s="20">
        <f t="shared" si="22"/>
        <v>-0.15</v>
      </c>
      <c r="E153" s="20"/>
      <c r="F153" s="20"/>
      <c r="G153" s="20">
        <f t="shared" si="19"/>
        <v>0</v>
      </c>
      <c r="H153" s="20"/>
      <c r="I153" s="20">
        <f t="shared" si="20"/>
        <v>0</v>
      </c>
      <c r="J153" s="20">
        <f t="shared" si="20"/>
        <v>-0.15</v>
      </c>
      <c r="K153" s="20">
        <f t="shared" si="20"/>
        <v>0</v>
      </c>
      <c r="L153" s="20">
        <f t="shared" si="20"/>
        <v>0</v>
      </c>
      <c r="M153" s="20">
        <f t="shared" si="20"/>
        <v>0</v>
      </c>
      <c r="N153" s="20"/>
      <c r="O153" s="20">
        <v>0</v>
      </c>
      <c r="P153" s="20">
        <v>-0.15</v>
      </c>
      <c r="Q153" s="20">
        <v>0</v>
      </c>
      <c r="R153" s="20">
        <v>0</v>
      </c>
      <c r="S153" s="20">
        <v>0</v>
      </c>
      <c r="T153" s="20"/>
      <c r="U153" s="20">
        <v>0</v>
      </c>
      <c r="V153" s="20">
        <v>-0.15</v>
      </c>
      <c r="W153" s="20">
        <v>0</v>
      </c>
      <c r="X153" s="20">
        <v>0</v>
      </c>
      <c r="Y153" s="20">
        <v>0</v>
      </c>
    </row>
    <row r="154" spans="1:25" ht="15">
      <c r="A154" s="22">
        <f t="shared" si="23"/>
        <v>138</v>
      </c>
      <c r="B154" s="10" t="s">
        <v>126</v>
      </c>
      <c r="C154" s="20">
        <f t="shared" si="21"/>
        <v>4711541.6899999995</v>
      </c>
      <c r="D154" s="20">
        <f t="shared" si="22"/>
        <v>6756689.9</v>
      </c>
      <c r="E154" s="20"/>
      <c r="F154" s="20"/>
      <c r="G154" s="20">
        <f t="shared" si="19"/>
        <v>5734116</v>
      </c>
      <c r="H154" s="20"/>
      <c r="I154" s="20">
        <f t="shared" si="20"/>
        <v>1219352.58</v>
      </c>
      <c r="J154" s="20">
        <f t="shared" si="20"/>
        <v>2844966.17</v>
      </c>
      <c r="K154" s="20">
        <f t="shared" si="20"/>
        <v>773634.415</v>
      </c>
      <c r="L154" s="20">
        <f t="shared" si="20"/>
        <v>896162.63</v>
      </c>
      <c r="M154" s="20">
        <f t="shared" si="20"/>
        <v>0</v>
      </c>
      <c r="N154" s="20"/>
      <c r="O154" s="20">
        <v>977494.21</v>
      </c>
      <c r="P154" s="20">
        <v>2019490.14</v>
      </c>
      <c r="Q154" s="20">
        <v>795601.42</v>
      </c>
      <c r="R154" s="20">
        <v>918955.92</v>
      </c>
      <c r="S154" s="20">
        <v>0</v>
      </c>
      <c r="T154" s="20"/>
      <c r="U154" s="20">
        <v>1461210.95</v>
      </c>
      <c r="V154" s="20">
        <v>3670442.2</v>
      </c>
      <c r="W154" s="20">
        <v>751667.41</v>
      </c>
      <c r="X154" s="20">
        <v>873369.34</v>
      </c>
      <c r="Y154" s="20">
        <v>0</v>
      </c>
    </row>
    <row r="155" spans="1:25" ht="15">
      <c r="A155" s="22">
        <f t="shared" si="23"/>
        <v>139</v>
      </c>
      <c r="B155" s="10" t="s">
        <v>321</v>
      </c>
      <c r="C155" s="20">
        <f t="shared" si="21"/>
        <v>724336.22</v>
      </c>
      <c r="D155" s="20">
        <f t="shared" si="22"/>
        <v>651902.52</v>
      </c>
      <c r="E155" s="20"/>
      <c r="F155" s="20"/>
      <c r="G155" s="20">
        <f t="shared" si="19"/>
        <v>688119</v>
      </c>
      <c r="H155" s="20"/>
      <c r="I155" s="20">
        <f t="shared" si="20"/>
        <v>688119.37</v>
      </c>
      <c r="J155" s="20">
        <f t="shared" si="20"/>
        <v>0</v>
      </c>
      <c r="K155" s="20">
        <f t="shared" si="20"/>
        <v>0</v>
      </c>
      <c r="L155" s="20">
        <f t="shared" si="20"/>
        <v>0</v>
      </c>
      <c r="M155" s="20">
        <f t="shared" si="20"/>
        <v>0</v>
      </c>
      <c r="N155" s="20"/>
      <c r="O155" s="20">
        <v>724336.22</v>
      </c>
      <c r="P155" s="20">
        <v>0</v>
      </c>
      <c r="Q155" s="20">
        <v>0</v>
      </c>
      <c r="R155" s="20">
        <v>0</v>
      </c>
      <c r="S155" s="20">
        <v>0</v>
      </c>
      <c r="T155" s="20"/>
      <c r="U155" s="20">
        <v>651902.52</v>
      </c>
      <c r="V155" s="20">
        <v>0</v>
      </c>
      <c r="W155" s="20">
        <v>0</v>
      </c>
      <c r="X155" s="20">
        <v>0</v>
      </c>
      <c r="Y155" s="20">
        <v>0</v>
      </c>
    </row>
    <row r="156" spans="1:25" ht="15">
      <c r="A156" s="22">
        <f t="shared" si="23"/>
        <v>140</v>
      </c>
      <c r="B156" s="10" t="s">
        <v>322</v>
      </c>
      <c r="C156" s="20">
        <f t="shared" si="21"/>
        <v>7715.2</v>
      </c>
      <c r="D156" s="20">
        <f t="shared" si="22"/>
        <v>7715.2</v>
      </c>
      <c r="E156" s="20"/>
      <c r="F156" s="20"/>
      <c r="G156" s="20">
        <f t="shared" si="19"/>
        <v>7715</v>
      </c>
      <c r="H156" s="20"/>
      <c r="I156" s="20">
        <f t="shared" si="20"/>
        <v>-0.27</v>
      </c>
      <c r="J156" s="20">
        <f t="shared" si="20"/>
        <v>0.31</v>
      </c>
      <c r="K156" s="20">
        <f t="shared" si="20"/>
        <v>0.37</v>
      </c>
      <c r="L156" s="20">
        <f t="shared" si="20"/>
        <v>7714.79</v>
      </c>
      <c r="M156" s="20">
        <f t="shared" si="20"/>
        <v>0</v>
      </c>
      <c r="N156" s="20"/>
      <c r="O156" s="20">
        <v>-0.27</v>
      </c>
      <c r="P156" s="20">
        <v>0.31</v>
      </c>
      <c r="Q156" s="20">
        <v>0.37</v>
      </c>
      <c r="R156" s="20">
        <v>7714.79</v>
      </c>
      <c r="S156" s="20">
        <v>0</v>
      </c>
      <c r="T156" s="20"/>
      <c r="U156" s="20">
        <v>-0.27</v>
      </c>
      <c r="V156" s="20">
        <v>0.31</v>
      </c>
      <c r="W156" s="20">
        <v>0.37</v>
      </c>
      <c r="X156" s="20">
        <v>7714.79</v>
      </c>
      <c r="Y156" s="20">
        <v>0</v>
      </c>
    </row>
    <row r="157" spans="1:25" ht="15">
      <c r="A157" s="22">
        <f t="shared" si="23"/>
        <v>141</v>
      </c>
      <c r="B157" s="10" t="s">
        <v>323</v>
      </c>
      <c r="C157" s="20">
        <f t="shared" si="21"/>
        <v>-7714.95</v>
      </c>
      <c r="D157" s="20">
        <f t="shared" si="22"/>
        <v>-7714.95</v>
      </c>
      <c r="E157" s="20"/>
      <c r="F157" s="20"/>
      <c r="G157" s="20">
        <f t="shared" si="19"/>
        <v>-7715</v>
      </c>
      <c r="H157" s="20"/>
      <c r="I157" s="20">
        <f t="shared" si="20"/>
        <v>0</v>
      </c>
      <c r="J157" s="20">
        <f t="shared" si="20"/>
        <v>0.05</v>
      </c>
      <c r="K157" s="20">
        <f t="shared" si="20"/>
        <v>0</v>
      </c>
      <c r="L157" s="20">
        <f t="shared" si="20"/>
        <v>-7715</v>
      </c>
      <c r="M157" s="20">
        <f t="shared" si="20"/>
        <v>0</v>
      </c>
      <c r="N157" s="20"/>
      <c r="O157" s="20">
        <v>0</v>
      </c>
      <c r="P157" s="20">
        <v>0.05</v>
      </c>
      <c r="Q157" s="20">
        <v>0</v>
      </c>
      <c r="R157" s="20">
        <v>-7715</v>
      </c>
      <c r="S157" s="20">
        <v>0</v>
      </c>
      <c r="T157" s="20"/>
      <c r="U157" s="20">
        <v>0</v>
      </c>
      <c r="V157" s="20">
        <v>0.05</v>
      </c>
      <c r="W157" s="20">
        <v>0</v>
      </c>
      <c r="X157" s="20">
        <v>-7715</v>
      </c>
      <c r="Y157" s="20">
        <v>0</v>
      </c>
    </row>
    <row r="158" spans="1:25" ht="15">
      <c r="A158" s="22">
        <f t="shared" si="23"/>
        <v>142</v>
      </c>
      <c r="B158" s="19" t="s">
        <v>127</v>
      </c>
      <c r="C158" s="20">
        <f t="shared" si="21"/>
        <v>-211271.23</v>
      </c>
      <c r="D158" s="20">
        <f t="shared" si="22"/>
        <v>-211271.23</v>
      </c>
      <c r="E158" s="20"/>
      <c r="F158" s="20"/>
      <c r="G158" s="20">
        <f t="shared" si="19"/>
        <v>-211271</v>
      </c>
      <c r="H158" s="20"/>
      <c r="I158" s="20">
        <f t="shared" si="20"/>
        <v>0.38</v>
      </c>
      <c r="J158" s="20">
        <f t="shared" si="20"/>
        <v>-0.24</v>
      </c>
      <c r="K158" s="20">
        <f t="shared" si="20"/>
        <v>-45000.37</v>
      </c>
      <c r="L158" s="20">
        <f t="shared" si="20"/>
        <v>-166271</v>
      </c>
      <c r="M158" s="20">
        <f t="shared" si="20"/>
        <v>0</v>
      </c>
      <c r="N158" s="20"/>
      <c r="O158" s="20">
        <v>0.38</v>
      </c>
      <c r="P158" s="20">
        <v>-0.24</v>
      </c>
      <c r="Q158" s="20">
        <v>-45000.37</v>
      </c>
      <c r="R158" s="20">
        <v>-166271</v>
      </c>
      <c r="S158" s="20">
        <v>0</v>
      </c>
      <c r="T158" s="20"/>
      <c r="U158" s="20">
        <v>0.38</v>
      </c>
      <c r="V158" s="20">
        <v>-0.24</v>
      </c>
      <c r="W158" s="20">
        <v>-45000.37</v>
      </c>
      <c r="X158" s="20">
        <v>-166271</v>
      </c>
      <c r="Y158" s="20">
        <v>0</v>
      </c>
    </row>
    <row r="159" spans="1:25" ht="15">
      <c r="A159" s="22">
        <f t="shared" si="23"/>
        <v>143</v>
      </c>
      <c r="B159" s="19" t="s">
        <v>324</v>
      </c>
      <c r="C159" s="20">
        <f t="shared" si="21"/>
        <v>-7796673.460000001</v>
      </c>
      <c r="D159" s="20">
        <f t="shared" si="22"/>
        <v>-10881016.61</v>
      </c>
      <c r="E159" s="20"/>
      <c r="F159" s="20"/>
      <c r="G159" s="20">
        <f t="shared" si="19"/>
        <v>-9338845</v>
      </c>
      <c r="H159" s="20"/>
      <c r="I159" s="20">
        <f aca="true" t="shared" si="24" ref="I159:M160">(+O159+U159)/2</f>
        <v>-1916014.275</v>
      </c>
      <c r="J159" s="20">
        <f t="shared" si="24"/>
        <v>-4082865.675</v>
      </c>
      <c r="K159" s="20">
        <f t="shared" si="24"/>
        <v>-406107.1</v>
      </c>
      <c r="L159" s="20">
        <f t="shared" si="24"/>
        <v>-2933857.9850000003</v>
      </c>
      <c r="M159" s="20">
        <f t="shared" si="24"/>
        <v>0</v>
      </c>
      <c r="N159" s="20"/>
      <c r="O159" s="20">
        <v>-1645374.15</v>
      </c>
      <c r="P159" s="20">
        <v>-3461283</v>
      </c>
      <c r="Q159" s="20">
        <v>-289139.9</v>
      </c>
      <c r="R159" s="20">
        <v>-2400876.41</v>
      </c>
      <c r="S159" s="20">
        <v>0</v>
      </c>
      <c r="T159" s="20"/>
      <c r="U159" s="20">
        <v>-2186654.4</v>
      </c>
      <c r="V159" s="20">
        <v>-4704448.35</v>
      </c>
      <c r="W159" s="20">
        <v>-523074.3</v>
      </c>
      <c r="X159" s="20">
        <v>-3466839.56</v>
      </c>
      <c r="Y159" s="20">
        <v>0</v>
      </c>
    </row>
    <row r="160" spans="1:25" ht="15">
      <c r="A160" s="22">
        <f t="shared" si="23"/>
        <v>144</v>
      </c>
      <c r="B160" s="19" t="s">
        <v>689</v>
      </c>
      <c r="C160" s="20">
        <f>SUM(O160:S160)</f>
        <v>0</v>
      </c>
      <c r="D160" s="20">
        <f>SUM(U160:Y160)</f>
        <v>3927518.83</v>
      </c>
      <c r="E160" s="20"/>
      <c r="F160" s="20"/>
      <c r="G160" s="20">
        <f t="shared" si="19"/>
        <v>1963759</v>
      </c>
      <c r="H160" s="20"/>
      <c r="I160" s="20">
        <f>(+O160+U160)/2</f>
        <v>395169.205</v>
      </c>
      <c r="J160" s="20">
        <f>(+P160+V160)/2</f>
        <v>705055.13</v>
      </c>
      <c r="K160" s="20">
        <f>(+Q160+W160)/2</f>
        <v>135988.385</v>
      </c>
      <c r="L160" s="20">
        <f>(+R160+X160)/2</f>
        <v>727546.695</v>
      </c>
      <c r="M160" s="20">
        <f>(+S160+Y160)/2</f>
        <v>0</v>
      </c>
      <c r="N160" s="20"/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/>
      <c r="U160" s="20">
        <v>790338.41</v>
      </c>
      <c r="V160" s="20">
        <v>1410110.26</v>
      </c>
      <c r="W160" s="20">
        <v>271976.77</v>
      </c>
      <c r="X160" s="20">
        <v>1455093.39</v>
      </c>
      <c r="Y160" s="20">
        <v>0</v>
      </c>
    </row>
    <row r="161" spans="1:25" ht="15">
      <c r="A161" s="22">
        <f t="shared" si="23"/>
        <v>145</v>
      </c>
      <c r="B161" s="10" t="s">
        <v>325</v>
      </c>
      <c r="C161" s="20">
        <f t="shared" si="21"/>
        <v>0.04999999999999999</v>
      </c>
      <c r="D161" s="20">
        <f t="shared" si="22"/>
        <v>0.04999999999999999</v>
      </c>
      <c r="E161" s="20"/>
      <c r="F161" s="20"/>
      <c r="G161" s="20">
        <f t="shared" si="19"/>
        <v>0</v>
      </c>
      <c r="H161" s="20"/>
      <c r="I161" s="20">
        <f aca="true" t="shared" si="25" ref="I161:M164">(+O161+U161)/2</f>
        <v>-0.05</v>
      </c>
      <c r="J161" s="20">
        <f t="shared" si="25"/>
        <v>-0.1</v>
      </c>
      <c r="K161" s="20">
        <f t="shared" si="25"/>
        <v>0.1</v>
      </c>
      <c r="L161" s="20">
        <f t="shared" si="25"/>
        <v>0.1</v>
      </c>
      <c r="M161" s="20">
        <f t="shared" si="25"/>
        <v>0</v>
      </c>
      <c r="N161" s="20"/>
      <c r="O161" s="20">
        <v>-0.05</v>
      </c>
      <c r="P161" s="20">
        <v>-0.1</v>
      </c>
      <c r="Q161" s="20">
        <v>0.1</v>
      </c>
      <c r="R161" s="20">
        <v>0.1</v>
      </c>
      <c r="S161" s="20">
        <v>0</v>
      </c>
      <c r="T161" s="20"/>
      <c r="U161" s="20">
        <v>-0.05</v>
      </c>
      <c r="V161" s="20">
        <v>-0.1</v>
      </c>
      <c r="W161" s="20">
        <v>0.1</v>
      </c>
      <c r="X161" s="20">
        <v>0.1</v>
      </c>
      <c r="Y161" s="20">
        <v>0</v>
      </c>
    </row>
    <row r="162" spans="1:25" ht="15">
      <c r="A162" s="22">
        <f t="shared" si="23"/>
        <v>146</v>
      </c>
      <c r="B162" s="10" t="s">
        <v>326</v>
      </c>
      <c r="C162" s="20">
        <f t="shared" si="21"/>
        <v>0.5599999999999999</v>
      </c>
      <c r="D162" s="20">
        <f t="shared" si="22"/>
        <v>0.06999999999999995</v>
      </c>
      <c r="E162" s="20"/>
      <c r="F162" s="20"/>
      <c r="G162" s="20">
        <f t="shared" si="19"/>
        <v>0</v>
      </c>
      <c r="H162" s="20"/>
      <c r="I162" s="20">
        <f t="shared" si="25"/>
        <v>-0.39</v>
      </c>
      <c r="J162" s="20">
        <f t="shared" si="25"/>
        <v>0.245</v>
      </c>
      <c r="K162" s="20">
        <f t="shared" si="25"/>
        <v>0.6</v>
      </c>
      <c r="L162" s="20">
        <f t="shared" si="25"/>
        <v>-0.14</v>
      </c>
      <c r="M162" s="20">
        <f t="shared" si="25"/>
        <v>0</v>
      </c>
      <c r="N162" s="20"/>
      <c r="O162" s="20">
        <v>-0.39</v>
      </c>
      <c r="P162" s="20">
        <v>0.49</v>
      </c>
      <c r="Q162" s="20">
        <v>0.6</v>
      </c>
      <c r="R162" s="20">
        <v>-0.14</v>
      </c>
      <c r="S162" s="20">
        <v>0</v>
      </c>
      <c r="T162" s="20"/>
      <c r="U162" s="20">
        <v>-0.39</v>
      </c>
      <c r="V162" s="20">
        <v>0</v>
      </c>
      <c r="W162" s="20">
        <v>0.6</v>
      </c>
      <c r="X162" s="20">
        <v>-0.14</v>
      </c>
      <c r="Y162" s="20">
        <v>0</v>
      </c>
    </row>
    <row r="163" spans="1:25" ht="15">
      <c r="A163" s="22">
        <f t="shared" si="23"/>
        <v>147</v>
      </c>
      <c r="B163" s="10" t="s">
        <v>128</v>
      </c>
      <c r="C163" s="20">
        <f t="shared" si="21"/>
        <v>2075899.4</v>
      </c>
      <c r="D163" s="20">
        <f t="shared" si="22"/>
        <v>1750434.77</v>
      </c>
      <c r="E163" s="20"/>
      <c r="F163" s="20"/>
      <c r="G163" s="20">
        <f t="shared" si="19"/>
        <v>1913167</v>
      </c>
      <c r="H163" s="20"/>
      <c r="I163" s="20">
        <f t="shared" si="25"/>
        <v>489549.975</v>
      </c>
      <c r="J163" s="20">
        <f t="shared" si="25"/>
        <v>1012788.61</v>
      </c>
      <c r="K163" s="20">
        <f t="shared" si="25"/>
        <v>124837.54</v>
      </c>
      <c r="L163" s="20">
        <f t="shared" si="25"/>
        <v>285990.95999999996</v>
      </c>
      <c r="M163" s="20">
        <f t="shared" si="25"/>
        <v>0</v>
      </c>
      <c r="N163" s="20"/>
      <c r="O163" s="20">
        <v>560975.72</v>
      </c>
      <c r="P163" s="20">
        <v>956185.25</v>
      </c>
      <c r="Q163" s="20">
        <v>167645.52</v>
      </c>
      <c r="R163" s="20">
        <v>391092.91</v>
      </c>
      <c r="S163" s="20">
        <v>0</v>
      </c>
      <c r="T163" s="20"/>
      <c r="U163" s="20">
        <v>418124.23</v>
      </c>
      <c r="V163" s="20">
        <v>1069391.97</v>
      </c>
      <c r="W163" s="20">
        <v>82029.56</v>
      </c>
      <c r="X163" s="20">
        <v>180889.01</v>
      </c>
      <c r="Y163" s="20">
        <v>0</v>
      </c>
    </row>
    <row r="164" spans="1:25" ht="15">
      <c r="A164" s="22">
        <f t="shared" si="23"/>
        <v>148</v>
      </c>
      <c r="B164" s="19" t="s">
        <v>327</v>
      </c>
      <c r="C164" s="20">
        <f t="shared" si="21"/>
        <v>177550.8</v>
      </c>
      <c r="D164" s="20">
        <f t="shared" si="22"/>
        <v>177550.8</v>
      </c>
      <c r="E164" s="20"/>
      <c r="F164" s="20"/>
      <c r="G164" s="20">
        <f t="shared" si="19"/>
        <v>177551</v>
      </c>
      <c r="H164" s="20"/>
      <c r="I164" s="20">
        <f t="shared" si="25"/>
        <v>177550.8</v>
      </c>
      <c r="J164" s="20">
        <f t="shared" si="25"/>
        <v>0</v>
      </c>
      <c r="K164" s="20">
        <f t="shared" si="25"/>
        <v>0</v>
      </c>
      <c r="L164" s="20">
        <f t="shared" si="25"/>
        <v>0</v>
      </c>
      <c r="M164" s="20">
        <f t="shared" si="25"/>
        <v>0</v>
      </c>
      <c r="N164" s="20"/>
      <c r="O164" s="20">
        <v>177550.8</v>
      </c>
      <c r="P164" s="20">
        <v>0</v>
      </c>
      <c r="Q164" s="20">
        <v>0</v>
      </c>
      <c r="R164" s="20">
        <v>0</v>
      </c>
      <c r="S164" s="20">
        <v>0</v>
      </c>
      <c r="T164" s="20"/>
      <c r="U164" s="20">
        <v>177550.8</v>
      </c>
      <c r="V164" s="20">
        <v>0</v>
      </c>
      <c r="W164" s="20">
        <v>0</v>
      </c>
      <c r="X164" s="20">
        <v>0</v>
      </c>
      <c r="Y164" s="20">
        <v>0</v>
      </c>
    </row>
    <row r="165" spans="1:25" ht="15">
      <c r="A165" s="22">
        <f t="shared" si="23"/>
        <v>149</v>
      </c>
      <c r="B165" s="10" t="s">
        <v>34</v>
      </c>
      <c r="C165" s="20">
        <f>-134284.81-33940.25-147083.8+0.35+4685735.24</f>
        <v>4370426.73</v>
      </c>
      <c r="D165" s="20">
        <v>4885525.34</v>
      </c>
      <c r="E165" s="20">
        <f aca="true" t="shared" si="26" ref="E165:F168">-C165</f>
        <v>-4370426.73</v>
      </c>
      <c r="F165" s="20">
        <f t="shared" si="26"/>
        <v>-4885525.34</v>
      </c>
      <c r="G165" s="20">
        <f t="shared" si="19"/>
        <v>0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5">
      <c r="A166" s="22">
        <f t="shared" si="23"/>
        <v>150</v>
      </c>
      <c r="B166" s="10" t="s">
        <v>130</v>
      </c>
      <c r="C166" s="20">
        <f>10742594.99+16247012.37+32641988.24+28736157.53</f>
        <v>88367753.13</v>
      </c>
      <c r="D166" s="20">
        <v>96975875.59</v>
      </c>
      <c r="E166" s="20">
        <f t="shared" si="26"/>
        <v>-88367753.13</v>
      </c>
      <c r="F166" s="20">
        <f t="shared" si="26"/>
        <v>-96975875.59</v>
      </c>
      <c r="G166" s="20">
        <f t="shared" si="19"/>
        <v>0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5">
      <c r="A167" s="22">
        <f t="shared" si="23"/>
        <v>151</v>
      </c>
      <c r="B167" s="10" t="s">
        <v>131</v>
      </c>
      <c r="C167" s="20">
        <f>310</f>
        <v>310</v>
      </c>
      <c r="D167" s="20">
        <v>310</v>
      </c>
      <c r="E167" s="20">
        <f t="shared" si="26"/>
        <v>-310</v>
      </c>
      <c r="F167" s="20">
        <f t="shared" si="26"/>
        <v>-310</v>
      </c>
      <c r="G167" s="20">
        <f t="shared" si="19"/>
        <v>0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5">
      <c r="A168" s="22">
        <f t="shared" si="23"/>
        <v>152</v>
      </c>
      <c r="B168" s="10" t="s">
        <v>134</v>
      </c>
      <c r="C168" s="20">
        <v>72432</v>
      </c>
      <c r="D168" s="20">
        <v>91968.51</v>
      </c>
      <c r="E168" s="20">
        <f t="shared" si="26"/>
        <v>-72432</v>
      </c>
      <c r="F168" s="20">
        <f t="shared" si="26"/>
        <v>-91968.51</v>
      </c>
      <c r="G168" s="20">
        <f t="shared" si="19"/>
        <v>0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5">
      <c r="A169" s="22">
        <f t="shared" si="23"/>
        <v>153</v>
      </c>
      <c r="B169" s="19" t="s">
        <v>328</v>
      </c>
      <c r="C169" s="20">
        <v>391561</v>
      </c>
      <c r="D169" s="20">
        <v>257311.38</v>
      </c>
      <c r="E169" s="20">
        <f>-C169</f>
        <v>-391561</v>
      </c>
      <c r="F169" s="20">
        <f>-D169</f>
        <v>-257311.38</v>
      </c>
      <c r="G169" s="20">
        <f t="shared" si="19"/>
        <v>0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5">
      <c r="A170" s="22">
        <f t="shared" si="23"/>
        <v>154</v>
      </c>
      <c r="B170" s="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5.75" thickBot="1">
      <c r="A171" s="22">
        <f t="shared" si="23"/>
        <v>155</v>
      </c>
      <c r="B171" s="10"/>
      <c r="C171" s="23">
        <f>SUM(C89:C170)</f>
        <v>757667377.5199997</v>
      </c>
      <c r="D171" s="23">
        <f>SUM(D89:D170)</f>
        <v>826685172.24</v>
      </c>
      <c r="E171" s="23">
        <f>SUM(E89:E170)</f>
        <v>-93202482.86</v>
      </c>
      <c r="F171" s="23">
        <f>SUM(F89:F170)</f>
        <v>-102210990.82000001</v>
      </c>
      <c r="G171" s="23">
        <f>SUM(G89:G170)</f>
        <v>694469536</v>
      </c>
      <c r="H171" s="23"/>
      <c r="I171" s="23">
        <f>SUM(I89:I170)</f>
        <v>57167059.535</v>
      </c>
      <c r="J171" s="23">
        <f>SUM(J89:J170)</f>
        <v>597000278.005</v>
      </c>
      <c r="K171" s="23">
        <f>SUM(K89:K170)</f>
        <v>7799008.614999998</v>
      </c>
      <c r="L171" s="23">
        <f>SUM(L89:L170)</f>
        <v>32503191.885000005</v>
      </c>
      <c r="M171" s="23">
        <f>SUM(M89:M170)</f>
        <v>0</v>
      </c>
      <c r="N171" s="23"/>
      <c r="O171" s="23">
        <f>SUM(O89:O170)</f>
        <v>61417622.49000002</v>
      </c>
      <c r="P171" s="23">
        <f>SUM(P89:P170)</f>
        <v>554629692.9299997</v>
      </c>
      <c r="Q171" s="23">
        <f>SUM(Q89:Q170)</f>
        <v>9424521.609999998</v>
      </c>
      <c r="R171" s="23">
        <f>SUM(R89:R170)</f>
        <v>38993057.63</v>
      </c>
      <c r="S171" s="23">
        <f>SUM(S89:S170)</f>
        <v>0</v>
      </c>
      <c r="T171" s="20"/>
      <c r="U171" s="23">
        <f>SUM(U89:U170)</f>
        <v>52916496.57999999</v>
      </c>
      <c r="V171" s="23">
        <f>SUM(V89:V170)</f>
        <v>639370863.08</v>
      </c>
      <c r="W171" s="23">
        <f>SUM(W89:W170)</f>
        <v>6173495.62</v>
      </c>
      <c r="X171" s="23">
        <f>SUM(X89:X170)</f>
        <v>26013326.140000004</v>
      </c>
      <c r="Y171" s="23">
        <f>SUM(Y89:Y170)</f>
        <v>0</v>
      </c>
    </row>
    <row r="172" spans="1:25" ht="15.75" thickTop="1">
      <c r="A172" s="22">
        <f t="shared" si="23"/>
        <v>156</v>
      </c>
      <c r="B172" s="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0"/>
      <c r="U172" s="24"/>
      <c r="V172" s="24"/>
      <c r="W172" s="24"/>
      <c r="X172" s="24"/>
      <c r="Y172" s="24"/>
    </row>
    <row r="173" spans="1:25" ht="15">
      <c r="A173" s="22">
        <f t="shared" si="23"/>
        <v>157</v>
      </c>
      <c r="B173" s="9"/>
      <c r="C173" s="20"/>
      <c r="D173" s="20" t="s">
        <v>77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5">
      <c r="A174" s="22">
        <f t="shared" si="23"/>
        <v>158</v>
      </c>
      <c r="B174" s="19" t="s">
        <v>135</v>
      </c>
      <c r="C174" s="20">
        <f>SUM(O174:S174)</f>
        <v>0</v>
      </c>
      <c r="D174" s="20">
        <v>-3907968.65</v>
      </c>
      <c r="E174" s="20">
        <f>-C174</f>
        <v>0</v>
      </c>
      <c r="F174" s="20">
        <v>0</v>
      </c>
      <c r="G174" s="20">
        <f>ROUND(SUM(C174:F174)/2,0)</f>
        <v>-1953984</v>
      </c>
      <c r="H174" s="20"/>
      <c r="I174" s="20">
        <f>(+O174+U174)/2</f>
        <v>12709979</v>
      </c>
      <c r="J174" s="20">
        <f>(+P174+V174)/2</f>
        <v>-17251613.5</v>
      </c>
      <c r="K174" s="20">
        <f>(+Q174+W174)/2</f>
        <v>2779994.5</v>
      </c>
      <c r="L174" s="20">
        <f>(+R174+X174)/2</f>
        <v>-192344</v>
      </c>
      <c r="M174" s="20">
        <f>(+S174+Y174)/2</f>
        <v>0</v>
      </c>
      <c r="N174" s="20"/>
      <c r="O174" s="20"/>
      <c r="P174" s="20"/>
      <c r="Q174" s="20"/>
      <c r="R174" s="20"/>
      <c r="S174" s="20"/>
      <c r="T174" s="20"/>
      <c r="U174" s="20">
        <v>25419958</v>
      </c>
      <c r="V174" s="20">
        <v>-34503227</v>
      </c>
      <c r="W174" s="20">
        <v>5559989</v>
      </c>
      <c r="X174" s="20">
        <v>-384688</v>
      </c>
      <c r="Y174" s="20">
        <v>0</v>
      </c>
    </row>
    <row r="175" spans="1:25" ht="15">
      <c r="A175" s="22">
        <f t="shared" si="23"/>
        <v>159</v>
      </c>
      <c r="B175" s="10" t="s">
        <v>136</v>
      </c>
      <c r="C175" s="20">
        <f>20263154+26380257+27657077+40427745</f>
        <v>114728233</v>
      </c>
      <c r="D175" s="20">
        <v>138656564</v>
      </c>
      <c r="E175" s="20">
        <f>-C175</f>
        <v>-114728233</v>
      </c>
      <c r="F175" s="20">
        <f>-D175</f>
        <v>-138656564</v>
      </c>
      <c r="G175" s="20">
        <f>ROUND(SUM(C175:F175)/2,0)</f>
        <v>0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5">
      <c r="A176" s="22">
        <f t="shared" si="23"/>
        <v>160</v>
      </c>
      <c r="B176" s="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5.75" thickBot="1">
      <c r="A177" s="22">
        <f t="shared" si="23"/>
        <v>161</v>
      </c>
      <c r="B177" s="10" t="s">
        <v>137</v>
      </c>
      <c r="C177" s="23">
        <f>SUM(C171:C176)</f>
        <v>872395610.5199997</v>
      </c>
      <c r="D177" s="23">
        <f>SUM(D171:D176)</f>
        <v>961433767.59</v>
      </c>
      <c r="E177" s="23">
        <f>SUM(E171:E176)</f>
        <v>-207930715.86</v>
      </c>
      <c r="F177" s="23">
        <f>SUM(F171:F176)</f>
        <v>-240867554.82</v>
      </c>
      <c r="G177" s="23">
        <f>SUM(G171:G176)</f>
        <v>692515552</v>
      </c>
      <c r="H177" s="23"/>
      <c r="I177" s="23">
        <f>SUM(I171:I176)</f>
        <v>69877038.535</v>
      </c>
      <c r="J177" s="23">
        <f>SUM(J171:J176)</f>
        <v>579748664.505</v>
      </c>
      <c r="K177" s="23">
        <f>SUM(K171:K176)</f>
        <v>10579003.114999998</v>
      </c>
      <c r="L177" s="23">
        <f>SUM(L171:L176)</f>
        <v>32310847.885000005</v>
      </c>
      <c r="M177" s="23">
        <f>SUM(M171:M176)</f>
        <v>0</v>
      </c>
      <c r="N177" s="23"/>
      <c r="O177" s="23">
        <f>SUM(O171:O176)</f>
        <v>61417622.49000002</v>
      </c>
      <c r="P177" s="23">
        <f>SUM(P171:P176)</f>
        <v>554629692.9299997</v>
      </c>
      <c r="Q177" s="23">
        <f>SUM(Q171:Q176)</f>
        <v>9424521.609999998</v>
      </c>
      <c r="R177" s="23">
        <f>SUM(R171:R176)</f>
        <v>38993057.63</v>
      </c>
      <c r="S177" s="23">
        <f>SUM(S171:S176)</f>
        <v>0</v>
      </c>
      <c r="T177" s="20"/>
      <c r="U177" s="23">
        <f>SUM(U171:U176)</f>
        <v>78336454.57999998</v>
      </c>
      <c r="V177" s="23">
        <f>SUM(V171:V176)</f>
        <v>604867636.08</v>
      </c>
      <c r="W177" s="23">
        <f>SUM(W171:W176)</f>
        <v>11733484.620000001</v>
      </c>
      <c r="X177" s="23">
        <f>SUM(X171:X176)</f>
        <v>25628638.140000004</v>
      </c>
      <c r="Y177" s="23">
        <f>SUM(Y171:Y176)</f>
        <v>0</v>
      </c>
    </row>
    <row r="178" spans="1:25" ht="15.75" thickTop="1">
      <c r="A178" s="22">
        <f t="shared" si="23"/>
        <v>162</v>
      </c>
      <c r="B178" s="9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0"/>
      <c r="U178" s="24"/>
      <c r="V178" s="24"/>
      <c r="W178" s="24"/>
      <c r="X178" s="24"/>
      <c r="Y178" s="24"/>
    </row>
    <row r="179" spans="1:25" ht="15">
      <c r="A179" s="22">
        <f t="shared" si="23"/>
        <v>163</v>
      </c>
      <c r="B179" s="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5">
      <c r="A180" s="22">
        <f t="shared" si="23"/>
        <v>164</v>
      </c>
      <c r="B180" s="10" t="s">
        <v>138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5">
      <c r="A181" s="22">
        <f t="shared" si="23"/>
        <v>165</v>
      </c>
      <c r="B181" s="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5">
      <c r="A182" s="22">
        <f t="shared" si="23"/>
        <v>166</v>
      </c>
      <c r="B182" s="10" t="s">
        <v>139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5">
      <c r="A183" s="22">
        <f t="shared" si="23"/>
        <v>167</v>
      </c>
      <c r="B183" s="9"/>
      <c r="C183" s="20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5">
      <c r="A184" s="22">
        <f t="shared" si="23"/>
        <v>168</v>
      </c>
      <c r="B184" s="10" t="s">
        <v>140</v>
      </c>
      <c r="C184" s="20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5">
      <c r="A185" s="22">
        <f t="shared" si="23"/>
        <v>169</v>
      </c>
      <c r="B185" s="1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5">
      <c r="A186" s="22">
        <f t="shared" si="23"/>
        <v>170</v>
      </c>
      <c r="B186" s="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5">
      <c r="A187" s="22">
        <f t="shared" si="23"/>
        <v>171</v>
      </c>
      <c r="B187" s="19" t="s">
        <v>141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5">
      <c r="A188" s="22">
        <f t="shared" si="23"/>
        <v>172</v>
      </c>
      <c r="B188" s="19" t="s">
        <v>142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5">
      <c r="A189" s="22">
        <f t="shared" si="23"/>
        <v>173</v>
      </c>
      <c r="B189" s="10" t="s">
        <v>329</v>
      </c>
      <c r="C189" s="20">
        <f>SUM(O189:S189)</f>
        <v>0</v>
      </c>
      <c r="D189" s="20">
        <f>SUM(U189:Y189)</f>
        <v>0</v>
      </c>
      <c r="E189" s="20"/>
      <c r="F189" s="20"/>
      <c r="G189" s="20">
        <f>ROUND(SUM(C189:F189)/2,0)</f>
        <v>0</v>
      </c>
      <c r="H189" s="20"/>
      <c r="I189" s="20">
        <f>(+O189+U189)/2</f>
        <v>0</v>
      </c>
      <c r="J189" s="20">
        <f>(+P189+V189)/2</f>
        <v>0</v>
      </c>
      <c r="K189" s="20">
        <f>(+Q189+W189)/2</f>
        <v>0</v>
      </c>
      <c r="L189" s="20">
        <f>(+R189+X189)/2</f>
        <v>0</v>
      </c>
      <c r="M189" s="20">
        <f>(+S189+Y189)/2</f>
        <v>0</v>
      </c>
      <c r="N189" s="20"/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/>
      <c r="U189" s="20">
        <v>0</v>
      </c>
      <c r="V189" s="20">
        <v>0</v>
      </c>
      <c r="W189" s="20">
        <v>0</v>
      </c>
      <c r="X189" s="20">
        <v>0</v>
      </c>
      <c r="Y189" s="20">
        <v>0</v>
      </c>
    </row>
    <row r="190" spans="1:25" ht="15">
      <c r="A190" s="22">
        <f t="shared" si="23"/>
        <v>174</v>
      </c>
      <c r="B190" s="1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5">
      <c r="A191" s="22">
        <f t="shared" si="23"/>
        <v>175</v>
      </c>
      <c r="B191" s="1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15.75" thickBot="1">
      <c r="A192" s="22">
        <f t="shared" si="23"/>
        <v>176</v>
      </c>
      <c r="B192" s="19" t="s">
        <v>145</v>
      </c>
      <c r="C192" s="23">
        <f aca="true" t="shared" si="27" ref="C192:O192">SUM(C189:C191)</f>
        <v>0</v>
      </c>
      <c r="D192" s="23">
        <f t="shared" si="27"/>
        <v>0</v>
      </c>
      <c r="E192" s="23">
        <f t="shared" si="27"/>
        <v>0</v>
      </c>
      <c r="F192" s="23">
        <f t="shared" si="27"/>
        <v>0</v>
      </c>
      <c r="G192" s="23">
        <f t="shared" si="27"/>
        <v>0</v>
      </c>
      <c r="H192" s="23"/>
      <c r="I192" s="23">
        <f>SUM(I189:I191)</f>
        <v>0</v>
      </c>
      <c r="J192" s="23">
        <f>SUM(J189:J191)</f>
        <v>0</v>
      </c>
      <c r="K192" s="23">
        <f>SUM(K189:K191)</f>
        <v>0</v>
      </c>
      <c r="L192" s="23">
        <f>SUM(L189:L191)</f>
        <v>0</v>
      </c>
      <c r="M192" s="23">
        <f>SUM(M189:M191)</f>
        <v>0</v>
      </c>
      <c r="N192" s="23"/>
      <c r="O192" s="23">
        <f t="shared" si="27"/>
        <v>0</v>
      </c>
      <c r="P192" s="23">
        <f>SUM(P189:P191)</f>
        <v>0</v>
      </c>
      <c r="Q192" s="23">
        <f>SUM(Q189:Q191)</f>
        <v>0</v>
      </c>
      <c r="R192" s="23">
        <f>SUM(R189:R191)</f>
        <v>0</v>
      </c>
      <c r="S192" s="23">
        <f>SUM(S189:S191)</f>
        <v>0</v>
      </c>
      <c r="T192" s="20"/>
      <c r="U192" s="23">
        <f>SUM(U189:U191)</f>
        <v>0</v>
      </c>
      <c r="V192" s="23">
        <f>SUM(V189:V191)</f>
        <v>0</v>
      </c>
      <c r="W192" s="23">
        <f>SUM(W189:W191)</f>
        <v>0</v>
      </c>
      <c r="X192" s="23">
        <f>SUM(X189:X191)</f>
        <v>0</v>
      </c>
      <c r="Y192" s="23">
        <f>SUM(Y189:Y191)</f>
        <v>0</v>
      </c>
    </row>
    <row r="193" spans="1:25" ht="15.75" thickTop="1">
      <c r="A193" s="7"/>
      <c r="B193" s="9"/>
      <c r="C193" s="24"/>
      <c r="D193" s="24"/>
      <c r="E193" s="24"/>
      <c r="F193" s="24"/>
      <c r="G193" s="24"/>
      <c r="H193" s="9"/>
      <c r="I193" s="24"/>
      <c r="J193" s="24"/>
      <c r="K193" s="24"/>
      <c r="L193" s="24"/>
      <c r="M193" s="24"/>
      <c r="N193" s="9"/>
      <c r="O193" s="24"/>
      <c r="P193" s="24"/>
      <c r="Q193" s="24"/>
      <c r="R193" s="24"/>
      <c r="S193" s="24"/>
      <c r="T193" s="9"/>
      <c r="U193" s="24"/>
      <c r="V193" s="24"/>
      <c r="W193" s="24"/>
      <c r="X193" s="24"/>
      <c r="Y193" s="24"/>
    </row>
    <row r="194" spans="1:25" ht="15">
      <c r="A194" s="7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7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7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7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7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7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</sheetData>
  <sheetProtection/>
  <printOptions/>
  <pageMargins left="0.75" right="0.25" top="0.5" bottom="0.25" header="0" footer="0"/>
  <pageSetup horizontalDpi="600" verticalDpi="600" orientation="portrait" scale="65" r:id="rId1"/>
  <headerFooter alignWithMargins="0">
    <oddHeader>&amp;RSTATEMENT AF
Page &amp;P of &amp;N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29"/>
  <sheetViews>
    <sheetView showOutlineSymbols="0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Y129"/>
    </sheetView>
  </sheetViews>
  <sheetFormatPr defaultColWidth="12.7109375" defaultRowHeight="15"/>
  <cols>
    <col min="1" max="1" width="4.7109375" style="3" customWidth="1"/>
    <col min="2" max="2" width="53.00390625" style="1" customWidth="1"/>
    <col min="3" max="4" width="14.7109375" style="1" customWidth="1"/>
    <col min="5" max="7" width="14.7109375" style="1" hidden="1" customWidth="1"/>
    <col min="8" max="8" width="2.7109375" style="1" hidden="1" customWidth="1"/>
    <col min="9" max="13" width="14.7109375" style="1" hidden="1" customWidth="1"/>
    <col min="14" max="14" width="2.7109375" style="1" customWidth="1"/>
    <col min="15" max="19" width="14.7109375" style="1" customWidth="1"/>
    <col min="20" max="20" width="2.7109375" style="1" customWidth="1"/>
    <col min="21" max="25" width="14.7109375" style="1" customWidth="1"/>
    <col min="26" max="16384" width="12.7109375" style="1" customWidth="1"/>
  </cols>
  <sheetData>
    <row r="1" spans="1:25" ht="12.75">
      <c r="A1" s="45"/>
      <c r="B1" s="8" t="s">
        <v>229</v>
      </c>
      <c r="C1" s="46"/>
      <c r="D1" s="46"/>
      <c r="E1" s="46"/>
      <c r="F1" s="46"/>
      <c r="G1" s="47"/>
      <c r="H1" s="26"/>
      <c r="I1" s="26"/>
      <c r="J1" s="26"/>
      <c r="K1" s="26"/>
      <c r="L1" s="26"/>
      <c r="M1" s="47"/>
      <c r="N1" s="26"/>
      <c r="O1" s="46"/>
      <c r="P1" s="46"/>
      <c r="Q1" s="46"/>
      <c r="R1" s="46"/>
      <c r="S1" s="47"/>
      <c r="T1" s="46"/>
      <c r="U1" s="46"/>
      <c r="V1" s="46"/>
      <c r="W1" s="46"/>
      <c r="X1" s="46"/>
      <c r="Y1" s="47"/>
    </row>
    <row r="2" spans="1:25" ht="12.75">
      <c r="A2" s="45"/>
      <c r="B2" s="8" t="s">
        <v>146</v>
      </c>
      <c r="C2" s="46"/>
      <c r="D2" s="46"/>
      <c r="E2" s="46"/>
      <c r="F2" s="46"/>
      <c r="G2" s="47"/>
      <c r="H2" s="26"/>
      <c r="I2" s="26"/>
      <c r="J2" s="26"/>
      <c r="K2" s="26"/>
      <c r="L2" s="26"/>
      <c r="M2" s="47"/>
      <c r="N2" s="26"/>
      <c r="O2" s="46"/>
      <c r="P2" s="46"/>
      <c r="Q2" s="46"/>
      <c r="R2" s="46"/>
      <c r="S2" s="47"/>
      <c r="T2" s="46"/>
      <c r="U2" s="46"/>
      <c r="V2" s="46"/>
      <c r="W2" s="46"/>
      <c r="X2" s="46"/>
      <c r="Y2" s="47"/>
    </row>
    <row r="3" spans="1:25" ht="12.75">
      <c r="A3" s="45"/>
      <c r="B3" s="8" t="s">
        <v>658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2.75">
      <c r="A4" s="45"/>
      <c r="B4" s="48"/>
      <c r="C4" s="46"/>
      <c r="D4" s="46"/>
      <c r="E4" s="46"/>
      <c r="F4" s="46"/>
      <c r="G4" s="47" t="s">
        <v>147</v>
      </c>
      <c r="H4" s="46"/>
      <c r="I4" s="46"/>
      <c r="J4" s="46"/>
      <c r="K4" s="46"/>
      <c r="L4" s="46"/>
      <c r="M4" s="47"/>
      <c r="N4" s="46"/>
      <c r="O4" s="46"/>
      <c r="P4" s="46"/>
      <c r="Q4" s="46"/>
      <c r="R4" s="46"/>
      <c r="S4" s="47"/>
      <c r="T4" s="46"/>
      <c r="U4" s="46"/>
      <c r="V4" s="46"/>
      <c r="W4" s="46"/>
      <c r="X4" s="46"/>
      <c r="Y4" s="47"/>
    </row>
    <row r="5" spans="1:25" ht="12.75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2.75">
      <c r="A6" s="45"/>
      <c r="B6" s="46"/>
      <c r="C6" s="46"/>
      <c r="D6" s="46"/>
      <c r="E6" s="46"/>
      <c r="F6" s="46"/>
      <c r="G6" s="46"/>
      <c r="H6" s="49"/>
      <c r="I6" s="49"/>
      <c r="J6" s="49"/>
      <c r="K6" s="49"/>
      <c r="L6" s="49"/>
      <c r="M6" s="49"/>
      <c r="N6" s="49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2.75">
      <c r="A8" s="45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/>
      <c r="O8" s="13" t="s">
        <v>14</v>
      </c>
      <c r="P8" s="13" t="s">
        <v>15</v>
      </c>
      <c r="Q8" s="13" t="s">
        <v>16</v>
      </c>
      <c r="R8" s="13" t="s">
        <v>17</v>
      </c>
      <c r="S8" s="13" t="s">
        <v>230</v>
      </c>
      <c r="T8" s="46"/>
      <c r="U8" s="13" t="s">
        <v>231</v>
      </c>
      <c r="V8" s="13" t="s">
        <v>232</v>
      </c>
      <c r="W8" s="13" t="s">
        <v>233</v>
      </c>
      <c r="X8" s="13" t="s">
        <v>234</v>
      </c>
      <c r="Y8" s="13" t="s">
        <v>235</v>
      </c>
    </row>
    <row r="9" spans="1:25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2.75">
      <c r="A10" s="45"/>
      <c r="B10" s="46"/>
      <c r="C10" s="37" t="s">
        <v>18</v>
      </c>
      <c r="D10" s="37"/>
      <c r="E10" s="15" t="s">
        <v>19</v>
      </c>
      <c r="F10" s="37"/>
      <c r="G10" s="49" t="s">
        <v>20</v>
      </c>
      <c r="H10" s="49"/>
      <c r="I10" s="37" t="s">
        <v>21</v>
      </c>
      <c r="J10" s="37"/>
      <c r="K10" s="37"/>
      <c r="L10" s="37"/>
      <c r="M10" s="37"/>
      <c r="N10" s="49"/>
      <c r="O10" s="37" t="s">
        <v>22</v>
      </c>
      <c r="P10" s="37"/>
      <c r="Q10" s="37"/>
      <c r="R10" s="37"/>
      <c r="S10" s="37"/>
      <c r="T10" s="46"/>
      <c r="U10" s="37" t="s">
        <v>659</v>
      </c>
      <c r="V10" s="37"/>
      <c r="W10" s="37"/>
      <c r="X10" s="37"/>
      <c r="Y10" s="37"/>
    </row>
    <row r="11" spans="1:25" ht="12.75">
      <c r="A11" s="45"/>
      <c r="B11" s="46"/>
      <c r="C11" s="50"/>
      <c r="D11" s="50"/>
      <c r="E11" s="46"/>
      <c r="F11" s="46"/>
      <c r="G11" s="49" t="s">
        <v>23</v>
      </c>
      <c r="H11" s="49"/>
      <c r="I11" s="50"/>
      <c r="J11" s="50"/>
      <c r="K11" s="50"/>
      <c r="L11" s="50"/>
      <c r="M11" s="50"/>
      <c r="N11" s="49"/>
      <c r="O11" s="50"/>
      <c r="P11" s="50"/>
      <c r="Q11" s="50"/>
      <c r="R11" s="50"/>
      <c r="S11" s="50"/>
      <c r="T11" s="46"/>
      <c r="U11" s="50"/>
      <c r="V11" s="50"/>
      <c r="W11" s="50"/>
      <c r="X11" s="50"/>
      <c r="Y11" s="50"/>
    </row>
    <row r="12" spans="1:25" ht="12.75">
      <c r="A12" s="45"/>
      <c r="B12" s="46"/>
      <c r="C12" s="49" t="s">
        <v>24</v>
      </c>
      <c r="D12" s="49" t="s">
        <v>24</v>
      </c>
      <c r="E12" s="49" t="s">
        <v>24</v>
      </c>
      <c r="F12" s="49" t="s">
        <v>24</v>
      </c>
      <c r="G12" s="49" t="s">
        <v>25</v>
      </c>
      <c r="H12" s="49"/>
      <c r="I12" s="46"/>
      <c r="J12" s="46"/>
      <c r="K12" s="46"/>
      <c r="L12" s="46"/>
      <c r="M12" s="46"/>
      <c r="N12" s="49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2.75">
      <c r="A13" s="45"/>
      <c r="B13" s="13" t="s">
        <v>26</v>
      </c>
      <c r="C13" s="13" t="s">
        <v>27</v>
      </c>
      <c r="D13" s="13" t="s">
        <v>660</v>
      </c>
      <c r="E13" s="13" t="str">
        <f>+C13</f>
        <v>OF 12-31-12</v>
      </c>
      <c r="F13" s="13" t="str">
        <f>+D13</f>
        <v>OF 12-31-13</v>
      </c>
      <c r="G13" s="13" t="s">
        <v>28</v>
      </c>
      <c r="H13" s="13"/>
      <c r="I13" s="13" t="s">
        <v>29</v>
      </c>
      <c r="J13" s="13" t="s">
        <v>236</v>
      </c>
      <c r="K13" s="13" t="s">
        <v>30</v>
      </c>
      <c r="L13" s="13" t="s">
        <v>31</v>
      </c>
      <c r="M13" s="13" t="s">
        <v>237</v>
      </c>
      <c r="N13" s="13"/>
      <c r="O13" s="13" t="s">
        <v>29</v>
      </c>
      <c r="P13" s="13" t="s">
        <v>236</v>
      </c>
      <c r="Q13" s="13" t="s">
        <v>30</v>
      </c>
      <c r="R13" s="13" t="s">
        <v>31</v>
      </c>
      <c r="S13" s="13" t="s">
        <v>237</v>
      </c>
      <c r="T13" s="46"/>
      <c r="U13" s="13" t="s">
        <v>29</v>
      </c>
      <c r="V13" s="13" t="s">
        <v>236</v>
      </c>
      <c r="W13" s="13" t="s">
        <v>30</v>
      </c>
      <c r="X13" s="13" t="s">
        <v>31</v>
      </c>
      <c r="Y13" s="13" t="s">
        <v>237</v>
      </c>
    </row>
    <row r="14" spans="1:25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2.75">
      <c r="A15" s="51"/>
      <c r="B15" s="41" t="s">
        <v>148</v>
      </c>
      <c r="C15" s="41"/>
      <c r="D15" s="41"/>
      <c r="E15" s="41"/>
      <c r="F15" s="5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.75">
      <c r="A16" s="5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.75">
      <c r="A17" s="53">
        <v>1</v>
      </c>
      <c r="B17" s="41" t="s">
        <v>330</v>
      </c>
      <c r="C17" s="41">
        <f>SUM(O17:S17)</f>
        <v>33679467.300000004</v>
      </c>
      <c r="D17" s="41">
        <f aca="true" t="shared" si="0" ref="D17:D98">SUM(U17:Y17)</f>
        <v>14350977.98</v>
      </c>
      <c r="E17" s="41"/>
      <c r="F17" s="41"/>
      <c r="G17" s="41">
        <f aca="true" t="shared" si="1" ref="G17:G63">ROUND(SUM(C17:F17)/2,0)</f>
        <v>24015223</v>
      </c>
      <c r="H17" s="41"/>
      <c r="I17" s="41">
        <f aca="true" t="shared" si="2" ref="I17:M107">(+O17+U17)/2</f>
        <v>5290280.59</v>
      </c>
      <c r="J17" s="41">
        <f t="shared" si="2"/>
        <v>14988041.065000001</v>
      </c>
      <c r="K17" s="41">
        <f t="shared" si="2"/>
        <v>972998.005</v>
      </c>
      <c r="L17" s="41">
        <f t="shared" si="2"/>
        <v>2763902.98</v>
      </c>
      <c r="M17" s="41">
        <f t="shared" si="2"/>
        <v>0</v>
      </c>
      <c r="N17" s="41"/>
      <c r="O17" s="41">
        <v>768140.82</v>
      </c>
      <c r="P17" s="41">
        <f>1211435.67+26684463+11520000-10312000</f>
        <v>29103898.67</v>
      </c>
      <c r="Q17" s="41">
        <v>0</v>
      </c>
      <c r="R17" s="41">
        <f>507499.81+3299928</f>
        <v>3807427.81</v>
      </c>
      <c r="S17" s="41"/>
      <c r="T17" s="41"/>
      <c r="U17" s="41">
        <f>915435+8896985.36</f>
        <v>9812420.36</v>
      </c>
      <c r="V17" s="41">
        <f>1261967-12076129.54+11686346</f>
        <v>872183.4600000009</v>
      </c>
      <c r="W17" s="41">
        <v>1945996.01</v>
      </c>
      <c r="X17" s="41">
        <f>409719+1445300-134640.85</f>
        <v>1720378.15</v>
      </c>
      <c r="Y17" s="41">
        <v>0</v>
      </c>
    </row>
    <row r="18" spans="1:25" ht="12.75">
      <c r="A18" s="53">
        <f aca="true" t="shared" si="3" ref="A18:A81">A17+1</f>
        <v>2</v>
      </c>
      <c r="B18" s="41" t="s">
        <v>150</v>
      </c>
      <c r="C18" s="41">
        <f>SUM(O18:S18)</f>
        <v>27414173.509999998</v>
      </c>
      <c r="D18" s="41">
        <f>SUM(U18:Y18)</f>
        <v>31034569.909999996</v>
      </c>
      <c r="E18" s="41"/>
      <c r="F18" s="41"/>
      <c r="G18" s="41">
        <f>ROUND(SUM(C18:F18)/2,0)</f>
        <v>29224372</v>
      </c>
      <c r="H18" s="41"/>
      <c r="I18" s="41">
        <f>(+O18+U18)/2</f>
        <v>6633113.88</v>
      </c>
      <c r="J18" s="41">
        <f>(+P18+V18)/2</f>
        <v>11196968.975000001</v>
      </c>
      <c r="K18" s="41">
        <f>(+Q18+W18)/2</f>
        <v>5395328.885</v>
      </c>
      <c r="L18" s="41">
        <f>(+R18+X18)/2</f>
        <v>5998959.97</v>
      </c>
      <c r="M18" s="41">
        <f t="shared" si="2"/>
        <v>0</v>
      </c>
      <c r="N18" s="41"/>
      <c r="O18" s="41">
        <f>9305994.78-2927529</f>
        <v>6378465.779999999</v>
      </c>
      <c r="P18" s="41">
        <f>11592383.24-1925727</f>
        <v>9666656.24</v>
      </c>
      <c r="Q18" s="41">
        <f>9371544.49-4009653</f>
        <v>5361891.49</v>
      </c>
      <c r="R18" s="41">
        <f>10406385-4399225</f>
        <v>6007160</v>
      </c>
      <c r="S18" s="41"/>
      <c r="T18" s="41"/>
      <c r="U18" s="41">
        <f>10138041.98-3250280</f>
        <v>6887761.98</v>
      </c>
      <c r="V18" s="41">
        <f>15094754.71-2367473</f>
        <v>12727281.71</v>
      </c>
      <c r="W18" s="41">
        <f>9757156.28-4328390</f>
        <v>5428766.279999999</v>
      </c>
      <c r="X18" s="41">
        <f>10742705.94-4751946</f>
        <v>5990759.9399999995</v>
      </c>
      <c r="Y18" s="41">
        <v>0</v>
      </c>
    </row>
    <row r="19" spans="1:25" ht="12.75">
      <c r="A19" s="53">
        <f t="shared" si="3"/>
        <v>3</v>
      </c>
      <c r="B19" s="41" t="s">
        <v>331</v>
      </c>
      <c r="C19" s="41">
        <f aca="true" t="shared" si="4" ref="C19:C98">SUM(O19:S19)</f>
        <v>91268</v>
      </c>
      <c r="D19" s="41">
        <f t="shared" si="0"/>
        <v>0</v>
      </c>
      <c r="E19" s="41"/>
      <c r="F19" s="41"/>
      <c r="G19" s="41">
        <f t="shared" si="1"/>
        <v>45634</v>
      </c>
      <c r="H19" s="41"/>
      <c r="I19" s="41">
        <f t="shared" si="2"/>
        <v>0</v>
      </c>
      <c r="J19" s="41">
        <f t="shared" si="2"/>
        <v>45634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/>
      <c r="O19" s="41">
        <v>0</v>
      </c>
      <c r="P19" s="41">
        <f>2281713-2190445</f>
        <v>91268</v>
      </c>
      <c r="Q19" s="41">
        <v>0</v>
      </c>
      <c r="R19" s="41">
        <v>0</v>
      </c>
      <c r="S19" s="41"/>
      <c r="T19" s="41"/>
      <c r="U19" s="41">
        <v>0</v>
      </c>
      <c r="V19" s="41">
        <f>2281713-2281713</f>
        <v>0</v>
      </c>
      <c r="W19" s="41">
        <v>0</v>
      </c>
      <c r="X19" s="41">
        <v>0</v>
      </c>
      <c r="Y19" s="41">
        <v>0</v>
      </c>
    </row>
    <row r="20" spans="1:25" ht="12.75">
      <c r="A20" s="53">
        <f t="shared" si="3"/>
        <v>4</v>
      </c>
      <c r="B20" s="41" t="s">
        <v>332</v>
      </c>
      <c r="C20" s="41">
        <f t="shared" si="4"/>
        <v>7183</v>
      </c>
      <c r="D20" s="41">
        <f t="shared" si="0"/>
        <v>5877</v>
      </c>
      <c r="E20" s="41"/>
      <c r="F20" s="41"/>
      <c r="G20" s="41">
        <f t="shared" si="1"/>
        <v>6530</v>
      </c>
      <c r="H20" s="41"/>
      <c r="I20" s="41">
        <f t="shared" si="2"/>
        <v>6530</v>
      </c>
      <c r="J20" s="41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/>
      <c r="O20" s="41">
        <f>39182-31999</f>
        <v>7183</v>
      </c>
      <c r="P20" s="41">
        <v>0</v>
      </c>
      <c r="Q20" s="41">
        <v>0</v>
      </c>
      <c r="R20" s="41">
        <v>0</v>
      </c>
      <c r="S20" s="41"/>
      <c r="T20" s="41"/>
      <c r="U20" s="41">
        <f>39182-33305</f>
        <v>5877</v>
      </c>
      <c r="V20" s="41">
        <v>0</v>
      </c>
      <c r="W20" s="41">
        <v>0</v>
      </c>
      <c r="X20" s="41">
        <v>0</v>
      </c>
      <c r="Y20" s="41">
        <v>0</v>
      </c>
    </row>
    <row r="21" spans="1:25" ht="12.75">
      <c r="A21" s="53">
        <f t="shared" si="3"/>
        <v>5</v>
      </c>
      <c r="B21" s="41" t="s">
        <v>333</v>
      </c>
      <c r="C21" s="41">
        <f t="shared" si="4"/>
        <v>9030</v>
      </c>
      <c r="D21" s="41">
        <f t="shared" si="0"/>
        <v>6020</v>
      </c>
      <c r="E21" s="41"/>
      <c r="F21" s="41"/>
      <c r="G21" s="41">
        <f t="shared" si="1"/>
        <v>7525</v>
      </c>
      <c r="H21" s="41"/>
      <c r="I21" s="41">
        <f t="shared" si="2"/>
        <v>7525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1">
        <f t="shared" si="2"/>
        <v>0</v>
      </c>
      <c r="N21" s="41"/>
      <c r="O21" s="41">
        <f>90297-81267</f>
        <v>9030</v>
      </c>
      <c r="P21" s="41">
        <v>0</v>
      </c>
      <c r="Q21" s="41">
        <v>0</v>
      </c>
      <c r="R21" s="41">
        <v>0</v>
      </c>
      <c r="S21" s="41"/>
      <c r="T21" s="41"/>
      <c r="U21" s="41">
        <f>90297-84277</f>
        <v>6020</v>
      </c>
      <c r="V21" s="41">
        <v>0</v>
      </c>
      <c r="W21" s="41">
        <v>0</v>
      </c>
      <c r="X21" s="41">
        <v>0</v>
      </c>
      <c r="Y21" s="41">
        <v>0</v>
      </c>
    </row>
    <row r="22" spans="1:25" ht="12.75">
      <c r="A22" s="53">
        <f t="shared" si="3"/>
        <v>6</v>
      </c>
      <c r="B22" s="41" t="s">
        <v>334</v>
      </c>
      <c r="C22" s="41">
        <f t="shared" si="4"/>
        <v>6875077.529999999</v>
      </c>
      <c r="D22" s="41">
        <f t="shared" si="0"/>
        <v>6151504.09</v>
      </c>
      <c r="E22" s="41"/>
      <c r="F22" s="41"/>
      <c r="G22" s="41">
        <f t="shared" si="1"/>
        <v>6513291</v>
      </c>
      <c r="H22" s="41"/>
      <c r="I22" s="41">
        <f t="shared" si="2"/>
        <v>0</v>
      </c>
      <c r="J22" s="41">
        <f t="shared" si="2"/>
        <v>0</v>
      </c>
      <c r="K22" s="41">
        <f t="shared" si="2"/>
        <v>1988988.935</v>
      </c>
      <c r="L22" s="41">
        <f t="shared" si="2"/>
        <v>4524301.875</v>
      </c>
      <c r="M22" s="41">
        <f t="shared" si="2"/>
        <v>0</v>
      </c>
      <c r="N22" s="41"/>
      <c r="O22" s="41">
        <v>0</v>
      </c>
      <c r="P22" s="41">
        <v>0</v>
      </c>
      <c r="Q22" s="41">
        <v>2326823.1</v>
      </c>
      <c r="R22" s="41">
        <v>4548254.43</v>
      </c>
      <c r="S22" s="41"/>
      <c r="T22" s="41"/>
      <c r="U22" s="41">
        <v>0</v>
      </c>
      <c r="V22" s="41">
        <v>0</v>
      </c>
      <c r="W22" s="41">
        <v>1651154.77</v>
      </c>
      <c r="X22" s="41">
        <v>4500349.32</v>
      </c>
      <c r="Y22" s="41">
        <v>0</v>
      </c>
    </row>
    <row r="23" spans="1:25" ht="12.75">
      <c r="A23" s="53">
        <f t="shared" si="3"/>
        <v>7</v>
      </c>
      <c r="B23" s="41" t="s">
        <v>335</v>
      </c>
      <c r="C23" s="41">
        <f t="shared" si="4"/>
        <v>-0.89</v>
      </c>
      <c r="D23" s="41">
        <f t="shared" si="0"/>
        <v>-0.89</v>
      </c>
      <c r="E23" s="41"/>
      <c r="F23" s="41"/>
      <c r="G23" s="41">
        <f t="shared" si="1"/>
        <v>-1</v>
      </c>
      <c r="H23" s="41"/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-0.89</v>
      </c>
      <c r="M23" s="41">
        <f t="shared" si="2"/>
        <v>0</v>
      </c>
      <c r="N23" s="41"/>
      <c r="O23" s="41">
        <v>0</v>
      </c>
      <c r="P23" s="41">
        <v>0</v>
      </c>
      <c r="Q23" s="41">
        <v>0</v>
      </c>
      <c r="R23" s="41">
        <v>-0.89</v>
      </c>
      <c r="S23" s="41"/>
      <c r="T23" s="41"/>
      <c r="U23" s="41">
        <v>0</v>
      </c>
      <c r="V23" s="41">
        <v>0</v>
      </c>
      <c r="W23" s="41">
        <v>0</v>
      </c>
      <c r="X23" s="41">
        <v>-0.89</v>
      </c>
      <c r="Y23" s="41">
        <v>0</v>
      </c>
    </row>
    <row r="24" spans="1:25" ht="12.75">
      <c r="A24" s="53">
        <f t="shared" si="3"/>
        <v>8</v>
      </c>
      <c r="B24" s="41" t="s">
        <v>336</v>
      </c>
      <c r="C24" s="41">
        <f t="shared" si="4"/>
        <v>-2403566.08</v>
      </c>
      <c r="D24" s="41">
        <f t="shared" si="0"/>
        <v>-900987.1900000002</v>
      </c>
      <c r="E24" s="41"/>
      <c r="F24" s="41"/>
      <c r="G24" s="41">
        <f t="shared" si="1"/>
        <v>-1652277</v>
      </c>
      <c r="H24" s="41"/>
      <c r="I24" s="41">
        <f t="shared" si="2"/>
        <v>731381.96</v>
      </c>
      <c r="J24" s="41">
        <f t="shared" si="2"/>
        <v>0.15</v>
      </c>
      <c r="K24" s="41">
        <f t="shared" si="2"/>
        <v>138132.71</v>
      </c>
      <c r="L24" s="41">
        <f t="shared" si="2"/>
        <v>-2521791.455</v>
      </c>
      <c r="M24" s="41">
        <f t="shared" si="2"/>
        <v>0</v>
      </c>
      <c r="N24" s="41"/>
      <c r="O24" s="41">
        <v>517622.34</v>
      </c>
      <c r="P24" s="41">
        <v>0.15</v>
      </c>
      <c r="Q24" s="41">
        <v>-7489.34</v>
      </c>
      <c r="R24" s="41">
        <v>-2913699.23</v>
      </c>
      <c r="S24" s="41"/>
      <c r="T24" s="41"/>
      <c r="U24" s="41">
        <v>945141.58</v>
      </c>
      <c r="V24" s="41">
        <v>0.15</v>
      </c>
      <c r="W24" s="41">
        <v>283754.76</v>
      </c>
      <c r="X24" s="41">
        <v>-2129883.68</v>
      </c>
      <c r="Y24" s="41">
        <v>0</v>
      </c>
    </row>
    <row r="25" spans="1:25" ht="12.75">
      <c r="A25" s="53">
        <f t="shared" si="3"/>
        <v>9</v>
      </c>
      <c r="B25" s="41" t="s">
        <v>158</v>
      </c>
      <c r="C25" s="41">
        <f t="shared" si="4"/>
        <v>1708749.9</v>
      </c>
      <c r="D25" s="41">
        <f t="shared" si="0"/>
        <v>335462.41000000003</v>
      </c>
      <c r="E25" s="41"/>
      <c r="F25" s="41"/>
      <c r="G25" s="41">
        <f t="shared" si="1"/>
        <v>1022106</v>
      </c>
      <c r="H25" s="41"/>
      <c r="I25" s="41">
        <f t="shared" si="2"/>
        <v>-653208.92</v>
      </c>
      <c r="J25" s="41">
        <f t="shared" si="2"/>
        <v>0</v>
      </c>
      <c r="K25" s="41">
        <f t="shared" si="2"/>
        <v>1678286.225</v>
      </c>
      <c r="L25" s="41">
        <f t="shared" si="2"/>
        <v>-2971.15</v>
      </c>
      <c r="M25" s="41">
        <f t="shared" si="2"/>
        <v>0</v>
      </c>
      <c r="N25" s="41"/>
      <c r="O25" s="41">
        <v>-268755.34</v>
      </c>
      <c r="P25" s="41">
        <v>0</v>
      </c>
      <c r="Q25" s="41">
        <v>1980476.39</v>
      </c>
      <c r="R25" s="41">
        <v>-2971.15</v>
      </c>
      <c r="S25" s="41"/>
      <c r="T25" s="41"/>
      <c r="U25" s="41">
        <v>-1037662.5</v>
      </c>
      <c r="V25" s="41">
        <v>0</v>
      </c>
      <c r="W25" s="41">
        <v>1376096.06</v>
      </c>
      <c r="X25" s="41">
        <v>-2971.15</v>
      </c>
      <c r="Y25" s="41">
        <v>0</v>
      </c>
    </row>
    <row r="26" spans="1:25" ht="12.75">
      <c r="A26" s="53">
        <f t="shared" si="3"/>
        <v>10</v>
      </c>
      <c r="B26" s="41" t="s">
        <v>337</v>
      </c>
      <c r="C26" s="41">
        <f t="shared" si="4"/>
        <v>-650000</v>
      </c>
      <c r="D26" s="41">
        <f t="shared" si="0"/>
        <v>-650000</v>
      </c>
      <c r="E26" s="41"/>
      <c r="F26" s="41"/>
      <c r="G26" s="41">
        <f t="shared" si="1"/>
        <v>-650000</v>
      </c>
      <c r="H26" s="41"/>
      <c r="I26" s="41">
        <f t="shared" si="2"/>
        <v>0</v>
      </c>
      <c r="J26" s="41">
        <f t="shared" si="2"/>
        <v>0</v>
      </c>
      <c r="K26" s="41">
        <f t="shared" si="2"/>
        <v>-650000</v>
      </c>
      <c r="L26" s="41">
        <f t="shared" si="2"/>
        <v>0</v>
      </c>
      <c r="M26" s="41">
        <f t="shared" si="2"/>
        <v>0</v>
      </c>
      <c r="N26" s="41"/>
      <c r="O26" s="41">
        <v>0</v>
      </c>
      <c r="P26" s="41">
        <v>0</v>
      </c>
      <c r="Q26" s="41">
        <v>-650000</v>
      </c>
      <c r="R26" s="41">
        <v>0</v>
      </c>
      <c r="S26" s="41"/>
      <c r="T26" s="41"/>
      <c r="U26" s="41">
        <v>0</v>
      </c>
      <c r="V26" s="41">
        <v>0</v>
      </c>
      <c r="W26" s="41">
        <v>-650000</v>
      </c>
      <c r="X26" s="41">
        <v>0</v>
      </c>
      <c r="Y26" s="41">
        <v>0</v>
      </c>
    </row>
    <row r="27" spans="1:25" ht="12.75">
      <c r="A27" s="53">
        <f t="shared" si="3"/>
        <v>11</v>
      </c>
      <c r="B27" s="41" t="s">
        <v>338</v>
      </c>
      <c r="C27" s="41">
        <f t="shared" si="4"/>
        <v>650001</v>
      </c>
      <c r="D27" s="41">
        <f t="shared" si="0"/>
        <v>650001</v>
      </c>
      <c r="E27" s="41"/>
      <c r="F27" s="41"/>
      <c r="G27" s="41">
        <f t="shared" si="1"/>
        <v>650001</v>
      </c>
      <c r="H27" s="41"/>
      <c r="I27" s="41">
        <f t="shared" si="2"/>
        <v>0</v>
      </c>
      <c r="J27" s="41">
        <f t="shared" si="2"/>
        <v>0</v>
      </c>
      <c r="K27" s="41">
        <f t="shared" si="2"/>
        <v>650001</v>
      </c>
      <c r="L27" s="41">
        <f t="shared" si="2"/>
        <v>0</v>
      </c>
      <c r="M27" s="41">
        <f t="shared" si="2"/>
        <v>0</v>
      </c>
      <c r="N27" s="41"/>
      <c r="O27" s="41">
        <v>0</v>
      </c>
      <c r="P27" s="41">
        <v>0</v>
      </c>
      <c r="Q27" s="41">
        <v>650001</v>
      </c>
      <c r="R27" s="41">
        <v>0</v>
      </c>
      <c r="S27" s="41"/>
      <c r="T27" s="41"/>
      <c r="U27" s="41">
        <v>0</v>
      </c>
      <c r="V27" s="41">
        <v>0</v>
      </c>
      <c r="W27" s="41">
        <v>650001</v>
      </c>
      <c r="X27" s="41">
        <v>0</v>
      </c>
      <c r="Y27" s="41">
        <v>0</v>
      </c>
    </row>
    <row r="28" spans="1:25" ht="12.75">
      <c r="A28" s="53">
        <f t="shared" si="3"/>
        <v>12</v>
      </c>
      <c r="B28" s="41" t="s">
        <v>339</v>
      </c>
      <c r="C28" s="41">
        <f t="shared" si="4"/>
        <v>12518150.61</v>
      </c>
      <c r="D28" s="41">
        <f t="shared" si="0"/>
        <v>11257868.01</v>
      </c>
      <c r="E28" s="41"/>
      <c r="F28" s="41"/>
      <c r="G28" s="41">
        <f t="shared" si="1"/>
        <v>11888009</v>
      </c>
      <c r="H28" s="41"/>
      <c r="I28" s="41">
        <f t="shared" si="2"/>
        <v>11888009.309999999</v>
      </c>
      <c r="J28" s="41">
        <f t="shared" si="2"/>
        <v>0</v>
      </c>
      <c r="K28" s="41">
        <f t="shared" si="2"/>
        <v>0</v>
      </c>
      <c r="L28" s="41">
        <f t="shared" si="2"/>
        <v>0</v>
      </c>
      <c r="M28" s="41">
        <f t="shared" si="2"/>
        <v>0</v>
      </c>
      <c r="N28" s="41"/>
      <c r="O28" s="41">
        <f>12886359.61-368209</f>
        <v>12518150.61</v>
      </c>
      <c r="P28" s="41">
        <v>0</v>
      </c>
      <c r="Q28" s="41">
        <v>0</v>
      </c>
      <c r="R28" s="41">
        <v>0</v>
      </c>
      <c r="S28" s="41"/>
      <c r="T28" s="41"/>
      <c r="U28" s="41">
        <f>11589009.01-331141</f>
        <v>11257868.01</v>
      </c>
      <c r="V28" s="41">
        <v>0</v>
      </c>
      <c r="W28" s="41">
        <v>0</v>
      </c>
      <c r="X28" s="41">
        <v>0</v>
      </c>
      <c r="Y28" s="41">
        <v>0</v>
      </c>
    </row>
    <row r="29" spans="1:25" ht="12.75">
      <c r="A29" s="53">
        <f t="shared" si="3"/>
        <v>13</v>
      </c>
      <c r="B29" s="41" t="s">
        <v>340</v>
      </c>
      <c r="C29" s="41">
        <f t="shared" si="4"/>
        <v>-898812.6</v>
      </c>
      <c r="D29" s="41">
        <f t="shared" si="0"/>
        <v>-2115983.1</v>
      </c>
      <c r="E29" s="41"/>
      <c r="F29" s="41"/>
      <c r="G29" s="41">
        <f t="shared" si="1"/>
        <v>-1507398</v>
      </c>
      <c r="H29" s="41"/>
      <c r="I29" s="41">
        <f t="shared" si="2"/>
        <v>-1507397.85</v>
      </c>
      <c r="J29" s="41">
        <f t="shared" si="2"/>
        <v>0</v>
      </c>
      <c r="K29" s="41">
        <f t="shared" si="2"/>
        <v>0</v>
      </c>
      <c r="L29" s="41">
        <f t="shared" si="2"/>
        <v>0</v>
      </c>
      <c r="M29" s="41">
        <f t="shared" si="2"/>
        <v>0</v>
      </c>
      <c r="N29" s="41"/>
      <c r="O29" s="41">
        <v>-898812.6</v>
      </c>
      <c r="P29" s="41">
        <v>0</v>
      </c>
      <c r="Q29" s="41">
        <v>0</v>
      </c>
      <c r="R29" s="41">
        <v>0</v>
      </c>
      <c r="S29" s="41"/>
      <c r="T29" s="41"/>
      <c r="U29" s="41">
        <v>-2115983.1</v>
      </c>
      <c r="V29" s="41">
        <v>0</v>
      </c>
      <c r="W29" s="41">
        <v>0</v>
      </c>
      <c r="X29" s="41">
        <v>0</v>
      </c>
      <c r="Y29" s="41">
        <v>0</v>
      </c>
    </row>
    <row r="30" spans="1:25" ht="12.75">
      <c r="A30" s="53">
        <f t="shared" si="3"/>
        <v>14</v>
      </c>
      <c r="B30" s="41" t="s">
        <v>162</v>
      </c>
      <c r="C30" s="41">
        <f t="shared" si="4"/>
        <v>161535.55</v>
      </c>
      <c r="D30" s="41">
        <f t="shared" si="0"/>
        <v>79565.70999999999</v>
      </c>
      <c r="E30" s="41"/>
      <c r="F30" s="41"/>
      <c r="G30" s="41">
        <f t="shared" si="1"/>
        <v>120551</v>
      </c>
      <c r="H30" s="41"/>
      <c r="I30" s="41">
        <f t="shared" si="2"/>
        <v>10147.945</v>
      </c>
      <c r="J30" s="41">
        <f t="shared" si="2"/>
        <v>29927.72</v>
      </c>
      <c r="K30" s="41">
        <f t="shared" si="2"/>
        <v>1051.16</v>
      </c>
      <c r="L30" s="41">
        <f t="shared" si="2"/>
        <v>79423.805</v>
      </c>
      <c r="M30" s="41">
        <f t="shared" si="2"/>
        <v>0</v>
      </c>
      <c r="N30" s="41"/>
      <c r="O30" s="41">
        <v>14739.6</v>
      </c>
      <c r="P30" s="41">
        <v>29220.81</v>
      </c>
      <c r="Q30" s="41">
        <v>1185.24</v>
      </c>
      <c r="R30" s="41">
        <v>116389.9</v>
      </c>
      <c r="S30" s="41"/>
      <c r="T30" s="41"/>
      <c r="U30" s="41">
        <v>5556.29</v>
      </c>
      <c r="V30" s="41">
        <v>30634.63</v>
      </c>
      <c r="W30" s="41">
        <v>917.08</v>
      </c>
      <c r="X30" s="41">
        <v>42457.71</v>
      </c>
      <c r="Y30" s="41">
        <v>0</v>
      </c>
    </row>
    <row r="31" spans="1:25" ht="12.75">
      <c r="A31" s="53">
        <f t="shared" si="3"/>
        <v>15</v>
      </c>
      <c r="B31" s="41" t="s">
        <v>341</v>
      </c>
      <c r="C31" s="41">
        <f t="shared" si="4"/>
        <v>0</v>
      </c>
      <c r="D31" s="41">
        <f t="shared" si="0"/>
        <v>0</v>
      </c>
      <c r="E31" s="41"/>
      <c r="F31" s="41"/>
      <c r="G31" s="41">
        <f t="shared" si="1"/>
        <v>0</v>
      </c>
      <c r="H31" s="41"/>
      <c r="I31" s="41">
        <f t="shared" si="2"/>
        <v>0</v>
      </c>
      <c r="J31" s="41">
        <f t="shared" si="2"/>
        <v>0</v>
      </c>
      <c r="K31" s="41">
        <f t="shared" si="2"/>
        <v>0</v>
      </c>
      <c r="L31" s="41">
        <f t="shared" si="2"/>
        <v>0</v>
      </c>
      <c r="M31" s="41">
        <f t="shared" si="2"/>
        <v>0</v>
      </c>
      <c r="N31" s="41"/>
      <c r="O31" s="41">
        <v>0</v>
      </c>
      <c r="P31" s="41">
        <v>0</v>
      </c>
      <c r="Q31" s="41">
        <v>0</v>
      </c>
      <c r="R31" s="41">
        <v>0</v>
      </c>
      <c r="S31" s="41"/>
      <c r="T31" s="41"/>
      <c r="U31" s="41">
        <v>0</v>
      </c>
      <c r="V31" s="41">
        <v>0</v>
      </c>
      <c r="W31" s="41">
        <v>0</v>
      </c>
      <c r="X31" s="41">
        <v>0</v>
      </c>
      <c r="Y31" s="41">
        <v>0</v>
      </c>
    </row>
    <row r="32" spans="1:25" ht="12.75">
      <c r="A32" s="53">
        <f t="shared" si="3"/>
        <v>16</v>
      </c>
      <c r="B32" s="41" t="s">
        <v>88</v>
      </c>
      <c r="C32" s="41">
        <f t="shared" si="4"/>
        <v>-43002659.260000005</v>
      </c>
      <c r="D32" s="41">
        <f t="shared" si="0"/>
        <v>-36787244.08</v>
      </c>
      <c r="E32" s="41"/>
      <c r="F32" s="41"/>
      <c r="G32" s="41">
        <f t="shared" si="1"/>
        <v>-39894952</v>
      </c>
      <c r="H32" s="41"/>
      <c r="I32" s="41">
        <f t="shared" si="2"/>
        <v>-8415217.44</v>
      </c>
      <c r="J32" s="41">
        <f t="shared" si="2"/>
        <v>-12926961.045</v>
      </c>
      <c r="K32" s="41">
        <f t="shared" si="2"/>
        <v>-2396654.295</v>
      </c>
      <c r="L32" s="41">
        <f t="shared" si="2"/>
        <v>-16156118.89</v>
      </c>
      <c r="M32" s="41">
        <f t="shared" si="2"/>
        <v>0</v>
      </c>
      <c r="N32" s="41"/>
      <c r="O32" s="41">
        <v>-9073929.29</v>
      </c>
      <c r="P32" s="41">
        <v>-14475609.6</v>
      </c>
      <c r="Q32" s="41">
        <v>-2543709.7</v>
      </c>
      <c r="R32" s="41">
        <v>-16909410.67</v>
      </c>
      <c r="S32" s="41"/>
      <c r="T32" s="41"/>
      <c r="U32" s="41">
        <v>-7756505.59</v>
      </c>
      <c r="V32" s="41">
        <v>-11378312.49</v>
      </c>
      <c r="W32" s="41">
        <v>-2249598.89</v>
      </c>
      <c r="X32" s="41">
        <v>-15402827.11</v>
      </c>
      <c r="Y32" s="41">
        <v>0</v>
      </c>
    </row>
    <row r="33" spans="1:25" ht="12.75">
      <c r="A33" s="53">
        <f t="shared" si="3"/>
        <v>17</v>
      </c>
      <c r="B33" s="41" t="s">
        <v>342</v>
      </c>
      <c r="C33" s="41">
        <f>SUM(O33:S33)</f>
        <v>70787550.05</v>
      </c>
      <c r="D33" s="41">
        <f>SUM(U33:Y33)</f>
        <v>46850400.8</v>
      </c>
      <c r="E33" s="41"/>
      <c r="F33" s="41"/>
      <c r="G33" s="41">
        <f>ROUND(SUM(C33:F33)/2,0)</f>
        <v>58818975</v>
      </c>
      <c r="H33" s="41"/>
      <c r="I33" s="41">
        <f t="shared" si="2"/>
        <v>12708731.7</v>
      </c>
      <c r="J33" s="41">
        <f t="shared" si="2"/>
        <v>15453438.175</v>
      </c>
      <c r="K33" s="41">
        <f t="shared" si="2"/>
        <v>4942314.475</v>
      </c>
      <c r="L33" s="41">
        <f t="shared" si="2"/>
        <v>25714491.075000003</v>
      </c>
      <c r="M33" s="41">
        <f t="shared" si="2"/>
        <v>0</v>
      </c>
      <c r="N33" s="41"/>
      <c r="O33" s="41">
        <v>14957104.4</v>
      </c>
      <c r="P33" s="41">
        <v>20793555.3</v>
      </c>
      <c r="Q33" s="41">
        <v>5722039.05</v>
      </c>
      <c r="R33" s="41">
        <v>29314851.3</v>
      </c>
      <c r="S33" s="41"/>
      <c r="T33" s="41"/>
      <c r="U33" s="41">
        <v>10460359</v>
      </c>
      <c r="V33" s="41">
        <v>10113321.05</v>
      </c>
      <c r="W33" s="41">
        <v>4162589.9</v>
      </c>
      <c r="X33" s="41">
        <v>22114130.85</v>
      </c>
      <c r="Y33" s="41">
        <v>0</v>
      </c>
    </row>
    <row r="34" spans="1:25" ht="12.75">
      <c r="A34" s="53">
        <f t="shared" si="3"/>
        <v>18</v>
      </c>
      <c r="B34" s="41" t="s">
        <v>343</v>
      </c>
      <c r="C34" s="41">
        <f>SUM(O34:S34)</f>
        <v>-98150.90000000001</v>
      </c>
      <c r="D34" s="41">
        <f>SUM(U34:Y34)</f>
        <v>-79241.10999999999</v>
      </c>
      <c r="E34" s="41"/>
      <c r="F34" s="41"/>
      <c r="G34" s="41">
        <f>ROUND(SUM(C34:F34)/2,0)</f>
        <v>-88696</v>
      </c>
      <c r="H34" s="41"/>
      <c r="I34" s="41">
        <f t="shared" si="2"/>
        <v>6343.285</v>
      </c>
      <c r="J34" s="41">
        <f t="shared" si="2"/>
        <v>15774.23</v>
      </c>
      <c r="K34" s="41">
        <f t="shared" si="2"/>
        <v>26103.12</v>
      </c>
      <c r="L34" s="41">
        <f t="shared" si="2"/>
        <v>-136916.64</v>
      </c>
      <c r="M34" s="41">
        <f t="shared" si="2"/>
        <v>0</v>
      </c>
      <c r="N34" s="41"/>
      <c r="O34" s="41">
        <v>6069.76</v>
      </c>
      <c r="P34" s="41">
        <v>9540.63</v>
      </c>
      <c r="Q34" s="41">
        <v>26528.12</v>
      </c>
      <c r="R34" s="41">
        <v>-140289.41</v>
      </c>
      <c r="S34" s="41"/>
      <c r="T34" s="41"/>
      <c r="U34" s="41">
        <v>6616.81</v>
      </c>
      <c r="V34" s="41">
        <v>22007.83</v>
      </c>
      <c r="W34" s="41">
        <v>25678.12</v>
      </c>
      <c r="X34" s="41">
        <v>-133543.87</v>
      </c>
      <c r="Y34" s="41">
        <v>0</v>
      </c>
    </row>
    <row r="35" spans="1:25" ht="12.75">
      <c r="A35" s="53">
        <f t="shared" si="3"/>
        <v>19</v>
      </c>
      <c r="B35" s="41" t="s">
        <v>344</v>
      </c>
      <c r="C35" s="41">
        <f>SUM(O35:S35)</f>
        <v>199818.84999999998</v>
      </c>
      <c r="D35" s="41">
        <f>SUM(U35:Y35)</f>
        <v>245646.45</v>
      </c>
      <c r="E35" s="41"/>
      <c r="F35" s="41"/>
      <c r="G35" s="41">
        <f>ROUND(SUM(C35:F35)/2,0)</f>
        <v>222733</v>
      </c>
      <c r="H35" s="41"/>
      <c r="I35" s="41">
        <f t="shared" si="2"/>
        <v>-4017.125</v>
      </c>
      <c r="J35" s="41">
        <f t="shared" si="2"/>
        <v>31945.725</v>
      </c>
      <c r="K35" s="41">
        <f t="shared" si="2"/>
        <v>24834.25</v>
      </c>
      <c r="L35" s="41">
        <f t="shared" si="2"/>
        <v>169969.8</v>
      </c>
      <c r="M35" s="41">
        <f t="shared" si="2"/>
        <v>0</v>
      </c>
      <c r="N35" s="41"/>
      <c r="O35" s="41">
        <v>-4850.65</v>
      </c>
      <c r="P35" s="41">
        <v>10900.75</v>
      </c>
      <c r="Q35" s="41">
        <v>24414.6</v>
      </c>
      <c r="R35" s="41">
        <v>169354.15</v>
      </c>
      <c r="S35" s="41"/>
      <c r="T35" s="41"/>
      <c r="U35" s="41">
        <v>-3183.6</v>
      </c>
      <c r="V35" s="41">
        <v>52990.7</v>
      </c>
      <c r="W35" s="41">
        <v>25253.9</v>
      </c>
      <c r="X35" s="41">
        <v>170585.45</v>
      </c>
      <c r="Y35" s="41">
        <v>0</v>
      </c>
    </row>
    <row r="36" spans="1:25" ht="12.75">
      <c r="A36" s="53">
        <f t="shared" si="3"/>
        <v>20</v>
      </c>
      <c r="B36" s="41" t="s">
        <v>345</v>
      </c>
      <c r="C36" s="41">
        <f t="shared" si="4"/>
        <v>428753.19999999995</v>
      </c>
      <c r="D36" s="41">
        <f t="shared" si="0"/>
        <v>462422.94</v>
      </c>
      <c r="E36" s="41"/>
      <c r="F36" s="41"/>
      <c r="G36" s="41">
        <f t="shared" si="1"/>
        <v>445588</v>
      </c>
      <c r="H36" s="41"/>
      <c r="I36" s="41">
        <f t="shared" si="2"/>
        <v>2</v>
      </c>
      <c r="J36" s="41">
        <f t="shared" si="2"/>
        <v>240105.495</v>
      </c>
      <c r="K36" s="41">
        <f t="shared" si="2"/>
        <v>-0.25</v>
      </c>
      <c r="L36" s="41">
        <f t="shared" si="2"/>
        <v>205480.825</v>
      </c>
      <c r="M36" s="41">
        <f t="shared" si="2"/>
        <v>0</v>
      </c>
      <c r="N36" s="41"/>
      <c r="O36" s="41">
        <v>2</v>
      </c>
      <c r="P36" s="41">
        <v>222105.15</v>
      </c>
      <c r="Q36" s="41">
        <v>-0.25</v>
      </c>
      <c r="R36" s="41">
        <v>206646.3</v>
      </c>
      <c r="S36" s="41"/>
      <c r="T36" s="41"/>
      <c r="U36" s="41">
        <v>2</v>
      </c>
      <c r="V36" s="41">
        <v>258105.84</v>
      </c>
      <c r="W36" s="41">
        <v>-0.25</v>
      </c>
      <c r="X36" s="41">
        <v>204315.35</v>
      </c>
      <c r="Y36" s="41">
        <v>0</v>
      </c>
    </row>
    <row r="37" spans="1:25" ht="12.75">
      <c r="A37" s="53">
        <f t="shared" si="3"/>
        <v>21</v>
      </c>
      <c r="B37" s="41" t="s">
        <v>346</v>
      </c>
      <c r="C37" s="41">
        <f>SUM(O37:S37)</f>
        <v>0.41</v>
      </c>
      <c r="D37" s="41">
        <f>SUM(U37:Y37)</f>
        <v>0.41</v>
      </c>
      <c r="E37" s="41"/>
      <c r="F37" s="41"/>
      <c r="G37" s="41">
        <f>ROUND(SUM(C37:F37)/2,0)</f>
        <v>0</v>
      </c>
      <c r="H37" s="41"/>
      <c r="I37" s="41">
        <f>(+O37+U37)/2</f>
        <v>0</v>
      </c>
      <c r="J37" s="41">
        <f>(+P37+V37)/2</f>
        <v>0</v>
      </c>
      <c r="K37" s="41">
        <f>(+Q37+W37)/2</f>
        <v>0.41</v>
      </c>
      <c r="L37" s="41">
        <f>(+R37+X37)/2</f>
        <v>0</v>
      </c>
      <c r="M37" s="41">
        <f t="shared" si="2"/>
        <v>0</v>
      </c>
      <c r="N37" s="41"/>
      <c r="O37" s="41">
        <v>0</v>
      </c>
      <c r="P37" s="41">
        <v>0</v>
      </c>
      <c r="Q37" s="41">
        <v>0.41</v>
      </c>
      <c r="R37" s="41">
        <v>0</v>
      </c>
      <c r="S37" s="41"/>
      <c r="T37" s="41"/>
      <c r="U37" s="41">
        <v>0</v>
      </c>
      <c r="V37" s="41">
        <v>0</v>
      </c>
      <c r="W37" s="41">
        <v>0.41</v>
      </c>
      <c r="X37" s="41">
        <v>0</v>
      </c>
      <c r="Y37" s="41">
        <v>0</v>
      </c>
    </row>
    <row r="38" spans="1:25" ht="12.75">
      <c r="A38" s="53">
        <f t="shared" si="3"/>
        <v>22</v>
      </c>
      <c r="B38" s="41" t="s">
        <v>347</v>
      </c>
      <c r="C38" s="41">
        <f t="shared" si="4"/>
        <v>0</v>
      </c>
      <c r="D38" s="41">
        <f t="shared" si="0"/>
        <v>0</v>
      </c>
      <c r="E38" s="41"/>
      <c r="F38" s="41"/>
      <c r="G38" s="41">
        <f t="shared" si="1"/>
        <v>0</v>
      </c>
      <c r="H38" s="41"/>
      <c r="I38" s="41">
        <f t="shared" si="2"/>
        <v>0</v>
      </c>
      <c r="J38" s="41">
        <f t="shared" si="2"/>
        <v>0</v>
      </c>
      <c r="K38" s="41">
        <f t="shared" si="2"/>
        <v>0</v>
      </c>
      <c r="L38" s="41">
        <f t="shared" si="2"/>
        <v>0</v>
      </c>
      <c r="M38" s="41">
        <f t="shared" si="2"/>
        <v>0</v>
      </c>
      <c r="N38" s="41"/>
      <c r="O38" s="41">
        <v>0</v>
      </c>
      <c r="P38" s="41">
        <v>0</v>
      </c>
      <c r="Q38" s="41">
        <v>0</v>
      </c>
      <c r="R38" s="41">
        <v>0</v>
      </c>
      <c r="S38" s="41"/>
      <c r="T38" s="41"/>
      <c r="U38" s="41">
        <v>0</v>
      </c>
      <c r="V38" s="41">
        <v>0</v>
      </c>
      <c r="W38" s="41">
        <v>0</v>
      </c>
      <c r="X38" s="41">
        <v>0</v>
      </c>
      <c r="Y38" s="41">
        <v>0</v>
      </c>
    </row>
    <row r="39" spans="1:25" ht="12.75">
      <c r="A39" s="53">
        <f t="shared" si="3"/>
        <v>23</v>
      </c>
      <c r="B39" s="41" t="s">
        <v>167</v>
      </c>
      <c r="C39" s="41">
        <f t="shared" si="4"/>
        <v>1564760.88</v>
      </c>
      <c r="D39" s="41">
        <f t="shared" si="0"/>
        <v>1887502.4</v>
      </c>
      <c r="E39" s="41"/>
      <c r="F39" s="41"/>
      <c r="G39" s="41">
        <f t="shared" si="1"/>
        <v>1726132</v>
      </c>
      <c r="H39" s="41"/>
      <c r="I39" s="41">
        <f t="shared" si="2"/>
        <v>64767.115</v>
      </c>
      <c r="J39" s="41">
        <f t="shared" si="2"/>
        <v>1037744.7949999999</v>
      </c>
      <c r="K39" s="41">
        <f t="shared" si="2"/>
        <v>0</v>
      </c>
      <c r="L39" s="41">
        <f t="shared" si="2"/>
        <v>623619.73</v>
      </c>
      <c r="M39" s="41">
        <f t="shared" si="2"/>
        <v>0</v>
      </c>
      <c r="N39" s="41"/>
      <c r="O39" s="41">
        <v>72722.76</v>
      </c>
      <c r="P39" s="41">
        <v>861802.21</v>
      </c>
      <c r="Q39" s="41">
        <v>0</v>
      </c>
      <c r="R39" s="41">
        <v>630235.91</v>
      </c>
      <c r="S39" s="41"/>
      <c r="T39" s="41"/>
      <c r="U39" s="41">
        <v>56811.47</v>
      </c>
      <c r="V39" s="41">
        <v>1213687.38</v>
      </c>
      <c r="W39" s="41">
        <v>0</v>
      </c>
      <c r="X39" s="41">
        <v>617003.55</v>
      </c>
      <c r="Y39" s="41">
        <v>0</v>
      </c>
    </row>
    <row r="40" spans="1:25" ht="12.75">
      <c r="A40" s="53">
        <f t="shared" si="3"/>
        <v>24</v>
      </c>
      <c r="B40" s="41" t="s">
        <v>690</v>
      </c>
      <c r="C40" s="41">
        <f>SUM(O40:S40)</f>
        <v>0</v>
      </c>
      <c r="D40" s="41">
        <f>SUM(U40:Y40)</f>
        <v>-1869.45</v>
      </c>
      <c r="E40" s="41"/>
      <c r="F40" s="41"/>
      <c r="G40" s="41">
        <f>ROUND(SUM(C40:F40)/2,0)</f>
        <v>-935</v>
      </c>
      <c r="H40" s="41"/>
      <c r="I40" s="41">
        <f>(+O40+U40)/2</f>
        <v>0</v>
      </c>
      <c r="J40" s="41">
        <f>(+P40+V40)/2</f>
        <v>-934.725</v>
      </c>
      <c r="K40" s="41">
        <f>(+Q40+W40)/2</f>
        <v>0</v>
      </c>
      <c r="L40" s="41">
        <f>(+R40+X40)/2</f>
        <v>0</v>
      </c>
      <c r="M40" s="41">
        <f>(+S40+Y40)/2</f>
        <v>0</v>
      </c>
      <c r="N40" s="41"/>
      <c r="O40" s="41">
        <v>0</v>
      </c>
      <c r="P40" s="41">
        <v>0</v>
      </c>
      <c r="Q40" s="41">
        <v>0</v>
      </c>
      <c r="R40" s="41">
        <v>0</v>
      </c>
      <c r="S40" s="41"/>
      <c r="T40" s="41"/>
      <c r="U40" s="41">
        <v>0</v>
      </c>
      <c r="V40" s="41">
        <v>-1869.45</v>
      </c>
      <c r="W40" s="41">
        <v>0</v>
      </c>
      <c r="X40" s="41">
        <v>0</v>
      </c>
      <c r="Y40" s="41">
        <v>0</v>
      </c>
    </row>
    <row r="41" spans="1:25" ht="12.75">
      <c r="A41" s="53">
        <f t="shared" si="3"/>
        <v>25</v>
      </c>
      <c r="B41" s="41" t="s">
        <v>691</v>
      </c>
      <c r="C41" s="41">
        <f>SUM(O41:S41)</f>
        <v>338530.93</v>
      </c>
      <c r="D41" s="41">
        <f>SUM(U41:Y41)</f>
        <v>988921.3</v>
      </c>
      <c r="E41" s="41"/>
      <c r="F41" s="41"/>
      <c r="G41" s="41">
        <f>ROUND(SUM(C41:F41)/2,0)</f>
        <v>663726</v>
      </c>
      <c r="H41" s="41"/>
      <c r="I41" s="41">
        <f>(+O41+U41)/2</f>
        <v>0</v>
      </c>
      <c r="J41" s="41">
        <f>(+P41+V41)/2</f>
        <v>663726.115</v>
      </c>
      <c r="K41" s="41">
        <f>(+Q41+W41)/2</f>
        <v>0</v>
      </c>
      <c r="L41" s="41">
        <f>(+R41+X41)/2</f>
        <v>0</v>
      </c>
      <c r="M41" s="41">
        <f t="shared" si="2"/>
        <v>0</v>
      </c>
      <c r="N41" s="41"/>
      <c r="O41" s="41">
        <v>0</v>
      </c>
      <c r="P41" s="41">
        <v>338530.93</v>
      </c>
      <c r="Q41" s="41">
        <v>0</v>
      </c>
      <c r="R41" s="41">
        <v>0</v>
      </c>
      <c r="S41" s="41"/>
      <c r="T41" s="41"/>
      <c r="U41" s="41">
        <v>0</v>
      </c>
      <c r="V41" s="41">
        <v>988921.3</v>
      </c>
      <c r="W41" s="41">
        <v>0</v>
      </c>
      <c r="X41" s="41">
        <v>0</v>
      </c>
      <c r="Y41" s="41">
        <v>0</v>
      </c>
    </row>
    <row r="42" spans="1:25" ht="12.75">
      <c r="A42" s="53">
        <f t="shared" si="3"/>
        <v>26</v>
      </c>
      <c r="B42" s="41" t="s">
        <v>692</v>
      </c>
      <c r="C42" s="41">
        <f t="shared" si="4"/>
        <v>80307.93000000001</v>
      </c>
      <c r="D42" s="41">
        <f t="shared" si="0"/>
        <v>64284.77</v>
      </c>
      <c r="E42" s="41"/>
      <c r="F42" s="41"/>
      <c r="G42" s="41">
        <f t="shared" si="1"/>
        <v>72296</v>
      </c>
      <c r="H42" s="41"/>
      <c r="I42" s="41">
        <f t="shared" si="2"/>
        <v>0.61</v>
      </c>
      <c r="J42" s="41">
        <f t="shared" si="2"/>
        <v>-0.01</v>
      </c>
      <c r="K42" s="41">
        <f t="shared" si="2"/>
        <v>0</v>
      </c>
      <c r="L42" s="41">
        <f t="shared" si="2"/>
        <v>72295.75</v>
      </c>
      <c r="M42" s="41">
        <f t="shared" si="2"/>
        <v>0</v>
      </c>
      <c r="N42" s="41"/>
      <c r="O42" s="41">
        <v>0.61</v>
      </c>
      <c r="P42" s="41">
        <v>-0.01</v>
      </c>
      <c r="Q42" s="41">
        <v>0</v>
      </c>
      <c r="R42" s="41">
        <v>80307.33</v>
      </c>
      <c r="S42" s="41"/>
      <c r="T42" s="41"/>
      <c r="U42" s="41">
        <v>0.61</v>
      </c>
      <c r="V42" s="41">
        <v>-0.01</v>
      </c>
      <c r="W42" s="41">
        <v>0</v>
      </c>
      <c r="X42" s="41">
        <v>64284.17</v>
      </c>
      <c r="Y42" s="41">
        <v>0</v>
      </c>
    </row>
    <row r="43" spans="1:25" ht="12.75">
      <c r="A43" s="53">
        <f t="shared" si="3"/>
        <v>27</v>
      </c>
      <c r="B43" s="41" t="s">
        <v>693</v>
      </c>
      <c r="C43" s="41">
        <f>SUM(O43:S43)</f>
        <v>0</v>
      </c>
      <c r="D43" s="41">
        <f>SUM(U43:Y43)</f>
        <v>28702.76</v>
      </c>
      <c r="E43" s="41"/>
      <c r="F43" s="41"/>
      <c r="G43" s="41">
        <f>ROUND(SUM(C43:F43)/2,0)</f>
        <v>14351</v>
      </c>
      <c r="H43" s="41"/>
      <c r="I43" s="41">
        <f>(+O43+U43)/2</f>
        <v>0</v>
      </c>
      <c r="J43" s="41">
        <f>(+P43+V43)/2</f>
        <v>0</v>
      </c>
      <c r="K43" s="41">
        <f>(+Q43+W43)/2</f>
        <v>0</v>
      </c>
      <c r="L43" s="41">
        <f>(+R43+X43)/2</f>
        <v>14351.38</v>
      </c>
      <c r="M43" s="41">
        <f>(+S43+Y43)/2</f>
        <v>0</v>
      </c>
      <c r="N43" s="41"/>
      <c r="O43" s="41">
        <v>0</v>
      </c>
      <c r="P43" s="41">
        <v>0</v>
      </c>
      <c r="Q43" s="41">
        <v>0</v>
      </c>
      <c r="R43" s="41">
        <v>0</v>
      </c>
      <c r="S43" s="41"/>
      <c r="T43" s="41"/>
      <c r="U43" s="41">
        <v>0</v>
      </c>
      <c r="V43" s="41">
        <v>0</v>
      </c>
      <c r="W43" s="41">
        <v>0</v>
      </c>
      <c r="X43" s="41">
        <v>28702.76</v>
      </c>
      <c r="Y43" s="41">
        <v>0</v>
      </c>
    </row>
    <row r="44" spans="1:25" ht="12.75">
      <c r="A44" s="53">
        <f t="shared" si="3"/>
        <v>28</v>
      </c>
      <c r="B44" s="41" t="s">
        <v>169</v>
      </c>
      <c r="C44" s="41">
        <f t="shared" si="4"/>
        <v>439680.85</v>
      </c>
      <c r="D44" s="41">
        <f t="shared" si="0"/>
        <v>132486.55</v>
      </c>
      <c r="E44" s="41"/>
      <c r="F44" s="41"/>
      <c r="G44" s="41">
        <f t="shared" si="1"/>
        <v>286084</v>
      </c>
      <c r="H44" s="41"/>
      <c r="I44" s="41">
        <f t="shared" si="2"/>
        <v>286083.69999999995</v>
      </c>
      <c r="J44" s="41">
        <f t="shared" si="2"/>
        <v>0</v>
      </c>
      <c r="K44" s="41">
        <f t="shared" si="2"/>
        <v>0</v>
      </c>
      <c r="L44" s="41">
        <f t="shared" si="2"/>
        <v>0</v>
      </c>
      <c r="M44" s="41">
        <f t="shared" si="2"/>
        <v>0</v>
      </c>
      <c r="N44" s="41"/>
      <c r="O44" s="41">
        <v>439680.85</v>
      </c>
      <c r="P44" s="41">
        <v>0</v>
      </c>
      <c r="Q44" s="41">
        <v>0</v>
      </c>
      <c r="R44" s="41">
        <v>0</v>
      </c>
      <c r="S44" s="41"/>
      <c r="T44" s="41"/>
      <c r="U44" s="41">
        <v>132486.55</v>
      </c>
      <c r="V44" s="41">
        <v>0</v>
      </c>
      <c r="W44" s="41">
        <v>0</v>
      </c>
      <c r="X44" s="41">
        <v>0</v>
      </c>
      <c r="Y44" s="41">
        <v>0</v>
      </c>
    </row>
    <row r="45" spans="1:25" ht="12.75">
      <c r="A45" s="53">
        <f t="shared" si="3"/>
        <v>29</v>
      </c>
      <c r="B45" s="41" t="s">
        <v>170</v>
      </c>
      <c r="C45" s="41">
        <f>SUM(O45:S45)</f>
        <v>-50711.5</v>
      </c>
      <c r="D45" s="41">
        <f>SUM(U45:Y45)</f>
        <v>-17655.4</v>
      </c>
      <c r="E45" s="41"/>
      <c r="F45" s="41"/>
      <c r="G45" s="41">
        <f>ROUND(SUM(C45:F45)/2,0)</f>
        <v>-34183</v>
      </c>
      <c r="H45" s="41"/>
      <c r="I45" s="41">
        <f t="shared" si="2"/>
        <v>-34183.45</v>
      </c>
      <c r="J45" s="41">
        <f t="shared" si="2"/>
        <v>0</v>
      </c>
      <c r="K45" s="41">
        <f t="shared" si="2"/>
        <v>0</v>
      </c>
      <c r="L45" s="41">
        <f t="shared" si="2"/>
        <v>0</v>
      </c>
      <c r="M45" s="41">
        <f t="shared" si="2"/>
        <v>0</v>
      </c>
      <c r="N45" s="41"/>
      <c r="O45" s="41">
        <v>-50711.5</v>
      </c>
      <c r="P45" s="41">
        <v>0</v>
      </c>
      <c r="Q45" s="41">
        <v>0</v>
      </c>
      <c r="R45" s="41">
        <v>0</v>
      </c>
      <c r="S45" s="41"/>
      <c r="T45" s="41"/>
      <c r="U45" s="41">
        <v>-17655.4</v>
      </c>
      <c r="V45" s="41">
        <v>0</v>
      </c>
      <c r="W45" s="41">
        <v>0</v>
      </c>
      <c r="X45" s="41">
        <v>0</v>
      </c>
      <c r="Y45" s="41">
        <v>0</v>
      </c>
    </row>
    <row r="46" spans="1:25" ht="12.75">
      <c r="A46" s="53">
        <f t="shared" si="3"/>
        <v>30</v>
      </c>
      <c r="B46" s="41" t="s">
        <v>348</v>
      </c>
      <c r="C46" s="41">
        <f>SUM(O46:S46)</f>
        <v>-8680000</v>
      </c>
      <c r="D46" s="41">
        <f>SUM(U46:Y46)</f>
        <v>-8680000</v>
      </c>
      <c r="E46" s="41"/>
      <c r="F46" s="41"/>
      <c r="G46" s="41">
        <f>ROUND(SUM(C46:F46)/2,0)</f>
        <v>-8680000</v>
      </c>
      <c r="H46" s="41"/>
      <c r="I46" s="41">
        <f t="shared" si="2"/>
        <v>0</v>
      </c>
      <c r="J46" s="41">
        <f t="shared" si="2"/>
        <v>-8680000</v>
      </c>
      <c r="K46" s="41">
        <f t="shared" si="2"/>
        <v>0</v>
      </c>
      <c r="L46" s="41">
        <f t="shared" si="2"/>
        <v>0</v>
      </c>
      <c r="M46" s="41">
        <f t="shared" si="2"/>
        <v>0</v>
      </c>
      <c r="N46" s="41"/>
      <c r="O46" s="41">
        <v>0</v>
      </c>
      <c r="P46" s="41">
        <v>-8680000</v>
      </c>
      <c r="Q46" s="41">
        <v>0</v>
      </c>
      <c r="R46" s="41">
        <v>0</v>
      </c>
      <c r="S46" s="41"/>
      <c r="T46" s="41"/>
      <c r="U46" s="41">
        <v>0</v>
      </c>
      <c r="V46" s="41">
        <v>-8680000</v>
      </c>
      <c r="W46" s="41">
        <v>0</v>
      </c>
      <c r="X46" s="41">
        <v>0</v>
      </c>
      <c r="Y46" s="41">
        <v>0</v>
      </c>
    </row>
    <row r="47" spans="1:25" ht="12.75">
      <c r="A47" s="53">
        <f t="shared" si="3"/>
        <v>31</v>
      </c>
      <c r="B47" s="41" t="s">
        <v>670</v>
      </c>
      <c r="C47" s="41">
        <f>SUM(O47:S47)</f>
        <v>0</v>
      </c>
      <c r="D47" s="41">
        <f>SUM(U47:Y47)</f>
        <v>886148.64</v>
      </c>
      <c r="E47" s="41"/>
      <c r="F47" s="41"/>
      <c r="G47" s="41">
        <f>ROUND(SUM(C47:F47)/2,0)</f>
        <v>443074</v>
      </c>
      <c r="H47" s="41"/>
      <c r="I47" s="41">
        <f>(+O47+U47)/2</f>
        <v>77162.75</v>
      </c>
      <c r="J47" s="41">
        <f>(+P47+V47)/2</f>
        <v>225235.675</v>
      </c>
      <c r="K47" s="41">
        <f>(+Q47+W47)/2</f>
        <v>26509.7</v>
      </c>
      <c r="L47" s="41">
        <f>(+R47+X47)/2</f>
        <v>114166.195</v>
      </c>
      <c r="M47" s="41">
        <f>(+S47+Y47)/2</f>
        <v>0</v>
      </c>
      <c r="N47" s="41"/>
      <c r="O47" s="41">
        <v>0</v>
      </c>
      <c r="P47" s="41">
        <v>0</v>
      </c>
      <c r="Q47" s="41">
        <v>0</v>
      </c>
      <c r="R47" s="41">
        <v>0</v>
      </c>
      <c r="S47" s="41"/>
      <c r="T47" s="41"/>
      <c r="U47" s="41">
        <v>154325.5</v>
      </c>
      <c r="V47" s="41">
        <v>450471.35</v>
      </c>
      <c r="W47" s="41">
        <v>53019.4</v>
      </c>
      <c r="X47" s="41">
        <v>228332.39</v>
      </c>
      <c r="Y47" s="41">
        <v>0</v>
      </c>
    </row>
    <row r="48" spans="1:25" ht="12.75">
      <c r="A48" s="53">
        <f t="shared" si="3"/>
        <v>32</v>
      </c>
      <c r="B48" s="41" t="s">
        <v>171</v>
      </c>
      <c r="C48" s="41">
        <f t="shared" si="4"/>
        <v>9740088.219999999</v>
      </c>
      <c r="D48" s="41">
        <f t="shared" si="0"/>
        <v>12670857.73</v>
      </c>
      <c r="E48" s="41"/>
      <c r="F48" s="41"/>
      <c r="G48" s="41">
        <f t="shared" si="1"/>
        <v>11205473</v>
      </c>
      <c r="H48" s="41"/>
      <c r="I48" s="41">
        <f t="shared" si="2"/>
        <v>1572377.885</v>
      </c>
      <c r="J48" s="41">
        <f t="shared" si="2"/>
        <v>7307821.535</v>
      </c>
      <c r="K48" s="41">
        <f t="shared" si="2"/>
        <v>433978.555</v>
      </c>
      <c r="L48" s="41">
        <f t="shared" si="2"/>
        <v>1891295</v>
      </c>
      <c r="M48" s="41">
        <f>(+S48+Y48)/2</f>
        <v>0</v>
      </c>
      <c r="N48" s="41"/>
      <c r="O48" s="41">
        <v>1588755.78</v>
      </c>
      <c r="P48" s="41">
        <v>5987051.93</v>
      </c>
      <c r="Q48" s="41">
        <v>380642.68</v>
      </c>
      <c r="R48" s="41">
        <v>1783637.83</v>
      </c>
      <c r="S48" s="41"/>
      <c r="T48" s="41"/>
      <c r="U48" s="41">
        <v>1555999.99</v>
      </c>
      <c r="V48" s="41">
        <v>8628591.14</v>
      </c>
      <c r="W48" s="41">
        <v>487314.43</v>
      </c>
      <c r="X48" s="41">
        <v>1998952.17</v>
      </c>
      <c r="Y48" s="41">
        <v>0</v>
      </c>
    </row>
    <row r="49" spans="1:25" ht="12.75">
      <c r="A49" s="53">
        <f t="shared" si="3"/>
        <v>33</v>
      </c>
      <c r="B49" s="41" t="s">
        <v>349</v>
      </c>
      <c r="C49" s="41">
        <f t="shared" si="4"/>
        <v>291083.04</v>
      </c>
      <c r="D49" s="41">
        <f t="shared" si="0"/>
        <v>227500.04</v>
      </c>
      <c r="E49" s="41"/>
      <c r="F49" s="41"/>
      <c r="G49" s="41">
        <f t="shared" si="1"/>
        <v>259292</v>
      </c>
      <c r="H49" s="41"/>
      <c r="I49" s="41">
        <f t="shared" si="2"/>
        <v>259291.53999999998</v>
      </c>
      <c r="J49" s="41">
        <f t="shared" si="2"/>
        <v>0</v>
      </c>
      <c r="K49" s="41">
        <f t="shared" si="2"/>
        <v>0</v>
      </c>
      <c r="L49" s="41">
        <f t="shared" si="2"/>
        <v>0</v>
      </c>
      <c r="M49" s="41">
        <f>(+S49+Y49)/2</f>
        <v>0</v>
      </c>
      <c r="N49" s="41"/>
      <c r="O49" s="41">
        <v>291083.04</v>
      </c>
      <c r="P49" s="41">
        <v>0</v>
      </c>
      <c r="Q49" s="41">
        <v>0</v>
      </c>
      <c r="R49" s="41">
        <v>0</v>
      </c>
      <c r="S49" s="41"/>
      <c r="T49" s="41"/>
      <c r="U49" s="41">
        <v>227500.04</v>
      </c>
      <c r="V49" s="41">
        <v>0</v>
      </c>
      <c r="W49" s="41">
        <v>0</v>
      </c>
      <c r="X49" s="41">
        <v>0</v>
      </c>
      <c r="Y49" s="41">
        <v>0</v>
      </c>
    </row>
    <row r="50" spans="1:25" ht="12.75">
      <c r="A50" s="53">
        <f t="shared" si="3"/>
        <v>34</v>
      </c>
      <c r="B50" s="41" t="s">
        <v>173</v>
      </c>
      <c r="C50" s="41">
        <f t="shared" si="4"/>
        <v>4751295.83</v>
      </c>
      <c r="D50" s="41">
        <f t="shared" si="0"/>
        <v>4762371.79</v>
      </c>
      <c r="E50" s="41"/>
      <c r="F50" s="41"/>
      <c r="G50" s="41">
        <f t="shared" si="1"/>
        <v>4756834</v>
      </c>
      <c r="H50" s="41"/>
      <c r="I50" s="41">
        <f t="shared" si="2"/>
        <v>910593.525</v>
      </c>
      <c r="J50" s="41">
        <f t="shared" si="2"/>
        <v>2466339.83</v>
      </c>
      <c r="K50" s="41">
        <f t="shared" si="2"/>
        <v>264364.015</v>
      </c>
      <c r="L50" s="41">
        <f t="shared" si="2"/>
        <v>1115536.44</v>
      </c>
      <c r="M50" s="41">
        <f>(+S50+Y50)/2</f>
        <v>0</v>
      </c>
      <c r="N50" s="41"/>
      <c r="O50" s="41">
        <v>927184</v>
      </c>
      <c r="P50" s="41">
        <v>2429436.71</v>
      </c>
      <c r="Q50" s="41">
        <v>259465.75</v>
      </c>
      <c r="R50" s="41">
        <v>1135209.37</v>
      </c>
      <c r="S50" s="41"/>
      <c r="T50" s="41"/>
      <c r="U50" s="41">
        <v>894003.05</v>
      </c>
      <c r="V50" s="41">
        <v>2503242.95</v>
      </c>
      <c r="W50" s="41">
        <v>269262.28</v>
      </c>
      <c r="X50" s="41">
        <v>1095863.51</v>
      </c>
      <c r="Y50" s="41">
        <v>0</v>
      </c>
    </row>
    <row r="51" spans="1:25" ht="12.75">
      <c r="A51" s="53">
        <f t="shared" si="3"/>
        <v>35</v>
      </c>
      <c r="B51" s="41" t="s">
        <v>350</v>
      </c>
      <c r="C51" s="41">
        <f>SUM(O51:S51)</f>
        <v>3276128.95</v>
      </c>
      <c r="D51" s="41">
        <f>SUM(U51:Y51)</f>
        <v>2583990.63</v>
      </c>
      <c r="E51" s="41"/>
      <c r="F51" s="41"/>
      <c r="G51" s="41">
        <f>ROUND(SUM(C51:F51)/2,0)</f>
        <v>2930060</v>
      </c>
      <c r="H51" s="41"/>
      <c r="I51" s="41">
        <f>(+O51+U51)/2</f>
        <v>2930059.79</v>
      </c>
      <c r="J51" s="41">
        <f>(+P51+V51)/2</f>
        <v>0</v>
      </c>
      <c r="K51" s="41">
        <f>(+Q51+W51)/2</f>
        <v>0</v>
      </c>
      <c r="L51" s="41">
        <f>(+R51+X51)/2</f>
        <v>0</v>
      </c>
      <c r="M51" s="41">
        <f>(+S51+Y51)/2</f>
        <v>0</v>
      </c>
      <c r="N51" s="41"/>
      <c r="O51" s="41">
        <v>3276128.95</v>
      </c>
      <c r="P51" s="41">
        <v>0</v>
      </c>
      <c r="Q51" s="41">
        <v>0</v>
      </c>
      <c r="R51" s="41">
        <v>0</v>
      </c>
      <c r="S51" s="41"/>
      <c r="T51" s="41"/>
      <c r="U51" s="41">
        <v>2583990.63</v>
      </c>
      <c r="V51" s="41">
        <v>0</v>
      </c>
      <c r="W51" s="41">
        <v>0</v>
      </c>
      <c r="X51" s="41">
        <v>0</v>
      </c>
      <c r="Y51" s="41">
        <v>0</v>
      </c>
    </row>
    <row r="52" spans="1:25" ht="12.75">
      <c r="A52" s="53">
        <f t="shared" si="3"/>
        <v>36</v>
      </c>
      <c r="B52" s="41" t="s">
        <v>351</v>
      </c>
      <c r="C52" s="41">
        <f>SUM(O52:S52)</f>
        <v>0</v>
      </c>
      <c r="D52" s="41">
        <f>SUM(U52:Y52)</f>
        <v>0</v>
      </c>
      <c r="E52" s="41"/>
      <c r="F52" s="41"/>
      <c r="G52" s="41">
        <f>ROUND(SUM(C52:F52)/2,0)</f>
        <v>0</v>
      </c>
      <c r="H52" s="41"/>
      <c r="I52" s="41">
        <f aca="true" t="shared" si="5" ref="I52:M53">(+O52+U52)/2</f>
        <v>0</v>
      </c>
      <c r="J52" s="41">
        <f t="shared" si="5"/>
        <v>0</v>
      </c>
      <c r="K52" s="41">
        <f t="shared" si="5"/>
        <v>0</v>
      </c>
      <c r="L52" s="41">
        <f t="shared" si="5"/>
        <v>0</v>
      </c>
      <c r="M52" s="41">
        <f t="shared" si="5"/>
        <v>0</v>
      </c>
      <c r="N52" s="41"/>
      <c r="O52" s="41">
        <v>0</v>
      </c>
      <c r="P52" s="41">
        <v>0</v>
      </c>
      <c r="Q52" s="41">
        <v>0</v>
      </c>
      <c r="R52" s="41">
        <v>0</v>
      </c>
      <c r="S52" s="41"/>
      <c r="T52" s="41"/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2.75">
      <c r="A53" s="53">
        <f t="shared" si="3"/>
        <v>37</v>
      </c>
      <c r="B53" s="41" t="s">
        <v>174</v>
      </c>
      <c r="C53" s="41">
        <f>SUM(O53:S53)</f>
        <v>-46758.670000000006</v>
      </c>
      <c r="D53" s="41">
        <f>SUM(U53:Y53)</f>
        <v>-22979.17</v>
      </c>
      <c r="E53" s="41"/>
      <c r="F53" s="41"/>
      <c r="G53" s="41">
        <f>ROUND(SUM(C53:F53)/2,0)</f>
        <v>-34869</v>
      </c>
      <c r="H53" s="41"/>
      <c r="I53" s="41">
        <f t="shared" si="5"/>
        <v>2265.365</v>
      </c>
      <c r="J53" s="41">
        <f t="shared" si="5"/>
        <v>-39561.3</v>
      </c>
      <c r="K53" s="41">
        <f t="shared" si="5"/>
        <v>0</v>
      </c>
      <c r="L53" s="41">
        <f t="shared" si="5"/>
        <v>2427.015</v>
      </c>
      <c r="M53" s="41">
        <f t="shared" si="5"/>
        <v>0</v>
      </c>
      <c r="N53" s="41"/>
      <c r="O53" s="41">
        <v>4530.73</v>
      </c>
      <c r="P53" s="41">
        <v>-51310.78</v>
      </c>
      <c r="Q53" s="41">
        <v>0</v>
      </c>
      <c r="R53" s="41">
        <v>21.38</v>
      </c>
      <c r="S53" s="41"/>
      <c r="T53" s="41"/>
      <c r="U53" s="41">
        <v>0</v>
      </c>
      <c r="V53" s="41">
        <v>-27811.82</v>
      </c>
      <c r="W53" s="41">
        <v>0</v>
      </c>
      <c r="X53" s="41">
        <v>4832.65</v>
      </c>
      <c r="Y53" s="41">
        <v>0</v>
      </c>
    </row>
    <row r="54" spans="1:25" ht="12.75">
      <c r="A54" s="53">
        <f t="shared" si="3"/>
        <v>38</v>
      </c>
      <c r="B54" s="41" t="s">
        <v>352</v>
      </c>
      <c r="C54" s="41">
        <f>SUM(O54:S54)</f>
        <v>841197</v>
      </c>
      <c r="D54" s="41">
        <f>SUM(U54:Y54)</f>
        <v>795918.5</v>
      </c>
      <c r="E54" s="41"/>
      <c r="F54" s="41"/>
      <c r="G54" s="41">
        <f>ROUND(SUM(C54:F54)/2,0)</f>
        <v>818558</v>
      </c>
      <c r="H54" s="41"/>
      <c r="I54" s="41">
        <f>(+O54+U54)/2</f>
        <v>818557.75</v>
      </c>
      <c r="J54" s="41">
        <f>(+P54+V54)/2</f>
        <v>0</v>
      </c>
      <c r="K54" s="41">
        <f>(+Q54+W54)/2</f>
        <v>0</v>
      </c>
      <c r="L54" s="41">
        <f>(+R54+X54)/2</f>
        <v>0</v>
      </c>
      <c r="M54" s="41">
        <f>(+S54+Y54)/2</f>
        <v>0</v>
      </c>
      <c r="N54" s="41"/>
      <c r="O54" s="41">
        <f>350000+491197</f>
        <v>841197</v>
      </c>
      <c r="P54" s="41">
        <v>0</v>
      </c>
      <c r="Q54" s="41">
        <v>0</v>
      </c>
      <c r="R54" s="41">
        <v>0</v>
      </c>
      <c r="S54" s="41"/>
      <c r="T54" s="41"/>
      <c r="U54" s="41">
        <f>350000+445918.5</f>
        <v>795918.5</v>
      </c>
      <c r="V54" s="41">
        <v>0</v>
      </c>
      <c r="W54" s="41">
        <v>0</v>
      </c>
      <c r="X54" s="41">
        <v>0</v>
      </c>
      <c r="Y54" s="41">
        <v>0</v>
      </c>
    </row>
    <row r="55" spans="1:25" ht="12.75">
      <c r="A55" s="53">
        <f t="shared" si="3"/>
        <v>39</v>
      </c>
      <c r="B55" s="41" t="s">
        <v>353</v>
      </c>
      <c r="C55" s="41">
        <f t="shared" si="4"/>
        <v>-1.2999999999999998</v>
      </c>
      <c r="D55" s="41">
        <f t="shared" si="0"/>
        <v>-1.2999999999999998</v>
      </c>
      <c r="E55" s="41"/>
      <c r="F55" s="41"/>
      <c r="G55" s="41">
        <f t="shared" si="1"/>
        <v>-1</v>
      </c>
      <c r="H55" s="41"/>
      <c r="I55" s="41">
        <f t="shared" si="2"/>
        <v>0</v>
      </c>
      <c r="J55" s="41">
        <f t="shared" si="2"/>
        <v>-1</v>
      </c>
      <c r="K55" s="41">
        <f t="shared" si="2"/>
        <v>-0.65</v>
      </c>
      <c r="L55" s="41">
        <f t="shared" si="2"/>
        <v>0.35</v>
      </c>
      <c r="M55" s="41">
        <f>(+S55+Y55)/2</f>
        <v>0</v>
      </c>
      <c r="N55" s="41"/>
      <c r="O55" s="41">
        <v>0</v>
      </c>
      <c r="P55" s="41">
        <v>-1</v>
      </c>
      <c r="Q55" s="41">
        <v>-0.65</v>
      </c>
      <c r="R55" s="41">
        <v>0.35</v>
      </c>
      <c r="S55" s="41"/>
      <c r="T55" s="41"/>
      <c r="U55" s="41">
        <v>0</v>
      </c>
      <c r="V55" s="41">
        <v>-1</v>
      </c>
      <c r="W55" s="41">
        <v>-0.65</v>
      </c>
      <c r="X55" s="41">
        <v>0.35</v>
      </c>
      <c r="Y55" s="41">
        <v>0</v>
      </c>
    </row>
    <row r="56" spans="1:25" ht="12.75">
      <c r="A56" s="53">
        <f t="shared" si="3"/>
        <v>40</v>
      </c>
      <c r="B56" s="41" t="s">
        <v>354</v>
      </c>
      <c r="C56" s="41">
        <f t="shared" si="4"/>
        <v>475066.18999999994</v>
      </c>
      <c r="D56" s="41">
        <f t="shared" si="0"/>
        <v>7631.29</v>
      </c>
      <c r="E56" s="41"/>
      <c r="F56" s="41"/>
      <c r="G56" s="41">
        <f t="shared" si="1"/>
        <v>241349</v>
      </c>
      <c r="H56" s="41"/>
      <c r="I56" s="41">
        <f t="shared" si="2"/>
        <v>47200.43</v>
      </c>
      <c r="J56" s="41">
        <f t="shared" si="2"/>
        <v>0</v>
      </c>
      <c r="K56" s="41">
        <f t="shared" si="2"/>
        <v>77829.95999999999</v>
      </c>
      <c r="L56" s="41">
        <f t="shared" si="2"/>
        <v>116318.34999999999</v>
      </c>
      <c r="M56" s="41">
        <f>(+S56+Y56)/2</f>
        <v>0</v>
      </c>
      <c r="N56" s="41"/>
      <c r="O56" s="41">
        <v>93630.21</v>
      </c>
      <c r="P56" s="41">
        <v>0</v>
      </c>
      <c r="Q56" s="41">
        <v>154120.02</v>
      </c>
      <c r="R56" s="41">
        <v>227315.96</v>
      </c>
      <c r="S56" s="41"/>
      <c r="T56" s="41"/>
      <c r="U56" s="41">
        <v>770.65</v>
      </c>
      <c r="V56" s="41">
        <v>0</v>
      </c>
      <c r="W56" s="41">
        <v>1539.9</v>
      </c>
      <c r="X56" s="41">
        <v>5320.74</v>
      </c>
      <c r="Y56" s="41">
        <v>0</v>
      </c>
    </row>
    <row r="57" spans="1:25" ht="12.75">
      <c r="A57" s="53">
        <f t="shared" si="3"/>
        <v>41</v>
      </c>
      <c r="B57" s="41" t="s">
        <v>355</v>
      </c>
      <c r="C57" s="41">
        <f>SUM(O57:S57)</f>
        <v>1402514.53</v>
      </c>
      <c r="D57" s="41">
        <f>SUM(U57:Y57)</f>
        <v>1328116.53</v>
      </c>
      <c r="E57" s="41"/>
      <c r="F57" s="41"/>
      <c r="G57" s="41">
        <f>ROUND(SUM(C57:F57)/2,0)</f>
        <v>1365316</v>
      </c>
      <c r="H57" s="41"/>
      <c r="I57" s="41">
        <f>(+O57+U57)/2</f>
        <v>0</v>
      </c>
      <c r="J57" s="41">
        <f>(+P57+V57)/2</f>
        <v>0</v>
      </c>
      <c r="K57" s="41">
        <f>(+Q57+W57)/2</f>
        <v>0</v>
      </c>
      <c r="L57" s="41">
        <f>(+R57+X57)/2</f>
        <v>1365315.53</v>
      </c>
      <c r="M57" s="41">
        <f>(+S57+Y57)/2</f>
        <v>0</v>
      </c>
      <c r="N57" s="41"/>
      <c r="O57" s="41">
        <v>0</v>
      </c>
      <c r="P57" s="41">
        <v>0</v>
      </c>
      <c r="Q57" s="41">
        <v>0</v>
      </c>
      <c r="R57" s="41">
        <v>1402514.53</v>
      </c>
      <c r="S57" s="41"/>
      <c r="T57" s="41"/>
      <c r="U57" s="41">
        <v>0</v>
      </c>
      <c r="V57" s="41">
        <v>0</v>
      </c>
      <c r="W57" s="41">
        <v>0</v>
      </c>
      <c r="X57" s="41">
        <v>1328116.53</v>
      </c>
      <c r="Y57" s="41">
        <v>0</v>
      </c>
    </row>
    <row r="58" spans="1:25" ht="12.75">
      <c r="A58" s="53">
        <f t="shared" si="3"/>
        <v>42</v>
      </c>
      <c r="B58" s="41" t="s">
        <v>176</v>
      </c>
      <c r="C58" s="41">
        <f t="shared" si="4"/>
        <v>1.8800000000010186</v>
      </c>
      <c r="D58" s="41">
        <f t="shared" si="0"/>
        <v>1.8800000000010186</v>
      </c>
      <c r="E58" s="41"/>
      <c r="F58" s="41"/>
      <c r="G58" s="41">
        <f t="shared" si="1"/>
        <v>2</v>
      </c>
      <c r="H58" s="41"/>
      <c r="I58" s="41">
        <f t="shared" si="2"/>
        <v>0.8999999999996362</v>
      </c>
      <c r="J58" s="41">
        <f t="shared" si="2"/>
        <v>1.2400000000016007</v>
      </c>
      <c r="K58" s="41">
        <f t="shared" si="2"/>
        <v>0.9899999999997817</v>
      </c>
      <c r="L58" s="41">
        <f t="shared" si="2"/>
        <v>-1.25</v>
      </c>
      <c r="M58" s="41">
        <f>(+S58+Y58)/2</f>
        <v>0</v>
      </c>
      <c r="N58" s="41"/>
      <c r="O58" s="41">
        <f>-8941.1+8942</f>
        <v>0.8999999999996362</v>
      </c>
      <c r="P58" s="41">
        <f>-17881.76+17883</f>
        <v>1.2400000000016007</v>
      </c>
      <c r="Q58" s="41">
        <f>-8941.01+8942</f>
        <v>0.9899999999997817</v>
      </c>
      <c r="R58" s="41">
        <f>-8943.25+8942</f>
        <v>-1.25</v>
      </c>
      <c r="S58" s="41"/>
      <c r="T58" s="41"/>
      <c r="U58" s="41">
        <f>-8941.1+8942</f>
        <v>0.8999999999996362</v>
      </c>
      <c r="V58" s="41">
        <f>-17881.76+17883</f>
        <v>1.2400000000016007</v>
      </c>
      <c r="W58" s="41">
        <f>-8941.01+8942</f>
        <v>0.9899999999997817</v>
      </c>
      <c r="X58" s="41">
        <f>-8943.25+8942</f>
        <v>-1.25</v>
      </c>
      <c r="Y58" s="41">
        <v>0</v>
      </c>
    </row>
    <row r="59" spans="1:25" ht="12.75">
      <c r="A59" s="53">
        <f t="shared" si="3"/>
        <v>43</v>
      </c>
      <c r="B59" s="41" t="s">
        <v>356</v>
      </c>
      <c r="C59" s="41">
        <f>SUM(O59:S59)</f>
        <v>214342</v>
      </c>
      <c r="D59" s="41">
        <f>SUM(U59:Y59)</f>
        <v>124118.29999999999</v>
      </c>
      <c r="E59" s="41"/>
      <c r="F59" s="41"/>
      <c r="G59" s="41">
        <f>ROUND(SUM(C59:F59)/2,0)</f>
        <v>169230</v>
      </c>
      <c r="H59" s="41"/>
      <c r="I59" s="41">
        <f t="shared" si="2"/>
        <v>-24617.575000000004</v>
      </c>
      <c r="J59" s="41">
        <f t="shared" si="2"/>
        <v>125216.7</v>
      </c>
      <c r="K59" s="41">
        <f t="shared" si="2"/>
        <v>5128.625</v>
      </c>
      <c r="L59" s="41">
        <f t="shared" si="2"/>
        <v>63502.4</v>
      </c>
      <c r="M59" s="41">
        <f t="shared" si="2"/>
        <v>0</v>
      </c>
      <c r="N59" s="41"/>
      <c r="O59" s="41">
        <f>-97050.1+41947</f>
        <v>-55103.100000000006</v>
      </c>
      <c r="P59" s="41">
        <f>129492.65+83895</f>
        <v>213387.65</v>
      </c>
      <c r="Q59" s="41">
        <f>-34162.1+42086</f>
        <v>7923.9000000000015</v>
      </c>
      <c r="R59" s="41">
        <f>2216.55+45917</f>
        <v>48133.55</v>
      </c>
      <c r="S59" s="41"/>
      <c r="T59" s="41"/>
      <c r="U59" s="41">
        <f>-36079.05+41947</f>
        <v>5867.949999999997</v>
      </c>
      <c r="V59" s="41">
        <f>-46849.25+83895</f>
        <v>37045.75</v>
      </c>
      <c r="W59" s="41">
        <f>-39752.65+42086</f>
        <v>2333.3499999999985</v>
      </c>
      <c r="X59" s="41">
        <f>32954.25+45917</f>
        <v>78871.25</v>
      </c>
      <c r="Y59" s="41">
        <v>0</v>
      </c>
    </row>
    <row r="60" spans="1:25" ht="12.75">
      <c r="A60" s="53">
        <f t="shared" si="3"/>
        <v>44</v>
      </c>
      <c r="B60" s="41" t="s">
        <v>357</v>
      </c>
      <c r="C60" s="41">
        <f>SUM(O60:S60)</f>
        <v>65135.70000000001</v>
      </c>
      <c r="D60" s="41">
        <f>SUM(U60:Y60)</f>
        <v>163747.85000000003</v>
      </c>
      <c r="E60" s="41"/>
      <c r="F60" s="41"/>
      <c r="G60" s="41">
        <f>ROUND(SUM(C60:F60)/2,0)</f>
        <v>114442</v>
      </c>
      <c r="H60" s="41"/>
      <c r="I60" s="41">
        <f t="shared" si="2"/>
        <v>-58897.82499999998</v>
      </c>
      <c r="J60" s="41">
        <f t="shared" si="2"/>
        <v>67001.20000000001</v>
      </c>
      <c r="K60" s="41">
        <f t="shared" si="2"/>
        <v>255.84999999999127</v>
      </c>
      <c r="L60" s="41">
        <f t="shared" si="2"/>
        <v>106082.54999999999</v>
      </c>
      <c r="M60" s="41">
        <f t="shared" si="2"/>
        <v>0</v>
      </c>
      <c r="N60" s="41"/>
      <c r="O60" s="41">
        <f>-297594.85+242011</f>
        <v>-55583.84999999998</v>
      </c>
      <c r="P60" s="41">
        <f>-464151.8+484022</f>
        <v>19870.20000000001</v>
      </c>
      <c r="Q60" s="41">
        <f>-241775.45+242011</f>
        <v>235.54999999998836</v>
      </c>
      <c r="R60" s="41">
        <f>-141397.2+242011</f>
        <v>100613.79999999999</v>
      </c>
      <c r="S60" s="41"/>
      <c r="T60" s="41"/>
      <c r="U60" s="41">
        <f>-304222.8+242011</f>
        <v>-62211.79999999999</v>
      </c>
      <c r="V60" s="41">
        <f>-369889.8+484022</f>
        <v>114132.20000000001</v>
      </c>
      <c r="W60" s="41">
        <f>-241734.85+242011</f>
        <v>276.1499999999942</v>
      </c>
      <c r="X60" s="41">
        <f>-130459.7+242011</f>
        <v>111551.3</v>
      </c>
      <c r="Y60" s="41">
        <v>0</v>
      </c>
    </row>
    <row r="61" spans="1:25" ht="12.75">
      <c r="A61" s="53">
        <f t="shared" si="3"/>
        <v>45</v>
      </c>
      <c r="B61" s="41" t="s">
        <v>179</v>
      </c>
      <c r="C61" s="41">
        <f t="shared" si="4"/>
        <v>-27278.85</v>
      </c>
      <c r="D61" s="41">
        <f t="shared" si="0"/>
        <v>-27278.85</v>
      </c>
      <c r="E61" s="41"/>
      <c r="F61" s="41"/>
      <c r="G61" s="41">
        <f t="shared" si="1"/>
        <v>-27279</v>
      </c>
      <c r="H61" s="41"/>
      <c r="I61" s="41">
        <f t="shared" si="2"/>
        <v>-27278.85</v>
      </c>
      <c r="J61" s="41">
        <f t="shared" si="2"/>
        <v>0</v>
      </c>
      <c r="K61" s="41">
        <f t="shared" si="2"/>
        <v>0</v>
      </c>
      <c r="L61" s="41">
        <f t="shared" si="2"/>
        <v>0</v>
      </c>
      <c r="M61" s="41">
        <f>(+S61+Y61)/2</f>
        <v>0</v>
      </c>
      <c r="N61" s="41"/>
      <c r="O61" s="41">
        <v>-27278.85</v>
      </c>
      <c r="P61" s="41">
        <v>0</v>
      </c>
      <c r="Q61" s="41">
        <v>0</v>
      </c>
      <c r="R61" s="41">
        <v>0</v>
      </c>
      <c r="S61" s="41"/>
      <c r="T61" s="41"/>
      <c r="U61" s="41">
        <v>-27278.85</v>
      </c>
      <c r="V61" s="41">
        <v>0</v>
      </c>
      <c r="W61" s="41">
        <v>0</v>
      </c>
      <c r="X61" s="41">
        <v>0</v>
      </c>
      <c r="Y61" s="41">
        <v>0</v>
      </c>
    </row>
    <row r="62" spans="1:25" ht="12.75">
      <c r="A62" s="53">
        <f t="shared" si="3"/>
        <v>46</v>
      </c>
      <c r="B62" s="41" t="s">
        <v>181</v>
      </c>
      <c r="C62" s="41">
        <f>SUM(O62:S62)</f>
        <v>0.5</v>
      </c>
      <c r="D62" s="41">
        <f>SUM(U62:Y62)</f>
        <v>0.5</v>
      </c>
      <c r="E62" s="41"/>
      <c r="F62" s="41"/>
      <c r="G62" s="41">
        <f>ROUND(SUM(C62:F62)/2,0)</f>
        <v>1</v>
      </c>
      <c r="H62" s="41"/>
      <c r="I62" s="41">
        <f>(+O62+U62)/2</f>
        <v>0</v>
      </c>
      <c r="J62" s="41">
        <f>(+P62+V62)/2</f>
        <v>0</v>
      </c>
      <c r="K62" s="41">
        <f>(+Q62+W62)/2</f>
        <v>0.5</v>
      </c>
      <c r="L62" s="41">
        <f>(+R62+X62)/2</f>
        <v>0</v>
      </c>
      <c r="M62" s="41">
        <f>(+S62+Y62)/2</f>
        <v>0</v>
      </c>
      <c r="N62" s="41"/>
      <c r="O62" s="41">
        <v>0</v>
      </c>
      <c r="P62" s="41">
        <v>0</v>
      </c>
      <c r="Q62" s="41">
        <v>0.5</v>
      </c>
      <c r="R62" s="41">
        <v>0</v>
      </c>
      <c r="S62" s="41"/>
      <c r="T62" s="41"/>
      <c r="U62" s="41">
        <v>0</v>
      </c>
      <c r="V62" s="41">
        <v>0</v>
      </c>
      <c r="W62" s="41">
        <v>0.5</v>
      </c>
      <c r="X62" s="41">
        <v>0</v>
      </c>
      <c r="Y62" s="41">
        <v>0</v>
      </c>
    </row>
    <row r="63" spans="1:25" ht="12.75">
      <c r="A63" s="53">
        <f t="shared" si="3"/>
        <v>47</v>
      </c>
      <c r="B63" s="41" t="s">
        <v>180</v>
      </c>
      <c r="C63" s="41">
        <f t="shared" si="4"/>
        <v>54175.41</v>
      </c>
      <c r="D63" s="41">
        <f t="shared" si="0"/>
        <v>-0.04</v>
      </c>
      <c r="E63" s="41"/>
      <c r="F63" s="41"/>
      <c r="G63" s="41">
        <f t="shared" si="1"/>
        <v>27088</v>
      </c>
      <c r="H63" s="41"/>
      <c r="I63" s="41">
        <f t="shared" si="2"/>
        <v>27087.685</v>
      </c>
      <c r="J63" s="41">
        <f t="shared" si="2"/>
        <v>0</v>
      </c>
      <c r="K63" s="41">
        <f t="shared" si="2"/>
        <v>0</v>
      </c>
      <c r="L63" s="41">
        <f t="shared" si="2"/>
        <v>0</v>
      </c>
      <c r="M63" s="41">
        <f>(+S63+Y63)/2</f>
        <v>0</v>
      </c>
      <c r="N63" s="41"/>
      <c r="O63" s="41">
        <v>54175.41</v>
      </c>
      <c r="P63" s="41">
        <v>0</v>
      </c>
      <c r="Q63" s="41">
        <v>0</v>
      </c>
      <c r="R63" s="41">
        <v>0</v>
      </c>
      <c r="S63" s="41"/>
      <c r="T63" s="41"/>
      <c r="U63" s="41">
        <v>-0.04</v>
      </c>
      <c r="V63" s="41">
        <v>0</v>
      </c>
      <c r="W63" s="41">
        <v>0</v>
      </c>
      <c r="X63" s="41">
        <v>0</v>
      </c>
      <c r="Y63" s="41">
        <v>0</v>
      </c>
    </row>
    <row r="64" spans="1:25" ht="12.75">
      <c r="A64" s="53">
        <f t="shared" si="3"/>
        <v>48</v>
      </c>
      <c r="B64" s="41" t="s">
        <v>183</v>
      </c>
      <c r="C64" s="41">
        <f>SUM(O64:S64)</f>
        <v>4122132.21</v>
      </c>
      <c r="D64" s="41">
        <f>SUM(U64:Y64)</f>
        <v>1630282.36</v>
      </c>
      <c r="E64" s="41"/>
      <c r="F64" s="41"/>
      <c r="G64" s="41">
        <f>ROUND(SUM(C64:F64)/2,0)</f>
        <v>2876207</v>
      </c>
      <c r="H64" s="41"/>
      <c r="I64" s="41">
        <f t="shared" si="2"/>
        <v>2876207.285</v>
      </c>
      <c r="J64" s="41">
        <f t="shared" si="2"/>
        <v>0</v>
      </c>
      <c r="K64" s="41">
        <f t="shared" si="2"/>
        <v>0</v>
      </c>
      <c r="L64" s="41">
        <f t="shared" si="2"/>
        <v>0</v>
      </c>
      <c r="M64" s="41">
        <f t="shared" si="2"/>
        <v>0</v>
      </c>
      <c r="N64" s="41"/>
      <c r="O64" s="41">
        <v>4122132.21</v>
      </c>
      <c r="P64" s="41">
        <v>0</v>
      </c>
      <c r="Q64" s="41">
        <v>0</v>
      </c>
      <c r="R64" s="41">
        <v>0</v>
      </c>
      <c r="S64" s="41"/>
      <c r="T64" s="41"/>
      <c r="U64" s="41">
        <v>1630282.36</v>
      </c>
      <c r="V64" s="41">
        <v>0</v>
      </c>
      <c r="W64" s="41">
        <v>0</v>
      </c>
      <c r="X64" s="41">
        <v>0</v>
      </c>
      <c r="Y64" s="41">
        <v>0</v>
      </c>
    </row>
    <row r="65" spans="1:25" ht="12.75">
      <c r="A65" s="53">
        <f t="shared" si="3"/>
        <v>49</v>
      </c>
      <c r="B65" s="41" t="s">
        <v>358</v>
      </c>
      <c r="C65" s="41">
        <f>SUM(O65:S65)</f>
        <v>435225</v>
      </c>
      <c r="D65" s="41">
        <f>SUM(U65:Y65)</f>
        <v>1530564.04</v>
      </c>
      <c r="E65" s="41"/>
      <c r="F65" s="41"/>
      <c r="G65" s="41">
        <f>ROUND(SUM(C65:F65)/2,0)</f>
        <v>982895</v>
      </c>
      <c r="H65" s="41"/>
      <c r="I65" s="41">
        <f t="shared" si="2"/>
        <v>982894.52</v>
      </c>
      <c r="J65" s="41">
        <f t="shared" si="2"/>
        <v>0</v>
      </c>
      <c r="K65" s="41">
        <f t="shared" si="2"/>
        <v>0</v>
      </c>
      <c r="L65" s="41">
        <f t="shared" si="2"/>
        <v>0</v>
      </c>
      <c r="M65" s="41">
        <f t="shared" si="2"/>
        <v>0</v>
      </c>
      <c r="N65" s="41"/>
      <c r="O65" s="41">
        <v>435225</v>
      </c>
      <c r="P65" s="41">
        <v>0</v>
      </c>
      <c r="Q65" s="41">
        <v>0</v>
      </c>
      <c r="R65" s="41">
        <v>0</v>
      </c>
      <c r="S65" s="41"/>
      <c r="T65" s="41"/>
      <c r="U65" s="41">
        <v>1530564.04</v>
      </c>
      <c r="V65" s="41">
        <v>0</v>
      </c>
      <c r="W65" s="41">
        <v>0</v>
      </c>
      <c r="X65" s="41">
        <v>0</v>
      </c>
      <c r="Y65" s="41">
        <v>0</v>
      </c>
    </row>
    <row r="66" spans="1:25" ht="12.75">
      <c r="A66" s="53">
        <f t="shared" si="3"/>
        <v>50</v>
      </c>
      <c r="B66" s="41" t="s">
        <v>294</v>
      </c>
      <c r="C66" s="41">
        <f t="shared" si="4"/>
        <v>0</v>
      </c>
      <c r="D66" s="41">
        <f t="shared" si="0"/>
        <v>0</v>
      </c>
      <c r="E66" s="41"/>
      <c r="F66" s="41"/>
      <c r="G66" s="41">
        <f aca="true" t="shared" si="6" ref="G66:G125">ROUND(SUM(C66:F66)/2,0)</f>
        <v>0</v>
      </c>
      <c r="H66" s="41"/>
      <c r="I66" s="41">
        <f t="shared" si="2"/>
        <v>0</v>
      </c>
      <c r="J66" s="41">
        <f t="shared" si="2"/>
        <v>0</v>
      </c>
      <c r="K66" s="41">
        <f t="shared" si="2"/>
        <v>0</v>
      </c>
      <c r="L66" s="41">
        <f t="shared" si="2"/>
        <v>0</v>
      </c>
      <c r="M66" s="41">
        <f>(+S66+Y66)/2</f>
        <v>0</v>
      </c>
      <c r="N66" s="41"/>
      <c r="O66" s="41">
        <v>0</v>
      </c>
      <c r="P66" s="41">
        <v>0</v>
      </c>
      <c r="Q66" s="41">
        <v>0</v>
      </c>
      <c r="R66" s="41">
        <v>0</v>
      </c>
      <c r="S66" s="41"/>
      <c r="T66" s="41"/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2.75">
      <c r="A67" s="53">
        <f t="shared" si="3"/>
        <v>51</v>
      </c>
      <c r="B67" s="41" t="s">
        <v>187</v>
      </c>
      <c r="C67" s="41">
        <f>SUM(O67:S67)</f>
        <v>201340.91</v>
      </c>
      <c r="D67" s="41">
        <f>SUM(U67:Y67)</f>
        <v>181465.58</v>
      </c>
      <c r="E67" s="41"/>
      <c r="F67" s="41"/>
      <c r="G67" s="41">
        <f>ROUND(SUM(C67:F67)/2,0)</f>
        <v>191403</v>
      </c>
      <c r="H67" s="41"/>
      <c r="I67" s="41">
        <f t="shared" si="2"/>
        <v>0</v>
      </c>
      <c r="J67" s="41">
        <f t="shared" si="2"/>
        <v>0</v>
      </c>
      <c r="K67" s="41">
        <f t="shared" si="2"/>
        <v>191403.245</v>
      </c>
      <c r="L67" s="41">
        <f t="shared" si="2"/>
        <v>0</v>
      </c>
      <c r="M67" s="41">
        <f t="shared" si="2"/>
        <v>0</v>
      </c>
      <c r="N67" s="41"/>
      <c r="O67" s="41">
        <v>0</v>
      </c>
      <c r="P67" s="41">
        <v>0</v>
      </c>
      <c r="Q67" s="41">
        <v>201340.91</v>
      </c>
      <c r="R67" s="41">
        <v>0</v>
      </c>
      <c r="S67" s="41"/>
      <c r="T67" s="41"/>
      <c r="U67" s="41">
        <v>0</v>
      </c>
      <c r="V67" s="41">
        <v>0</v>
      </c>
      <c r="W67" s="41">
        <v>181465.58</v>
      </c>
      <c r="X67" s="41">
        <v>0</v>
      </c>
      <c r="Y67" s="41">
        <v>0</v>
      </c>
    </row>
    <row r="68" spans="1:25" ht="12.75">
      <c r="A68" s="53">
        <f t="shared" si="3"/>
        <v>52</v>
      </c>
      <c r="B68" s="41" t="s">
        <v>359</v>
      </c>
      <c r="C68" s="41">
        <f>SUM(O68:S68)</f>
        <v>-0.05</v>
      </c>
      <c r="D68" s="41">
        <f>SUM(U68:Y68)</f>
        <v>-0.05</v>
      </c>
      <c r="E68" s="41"/>
      <c r="F68" s="41"/>
      <c r="G68" s="41">
        <f>ROUND(SUM(C68:F68)/2,0)</f>
        <v>0</v>
      </c>
      <c r="H68" s="41"/>
      <c r="I68" s="41">
        <f t="shared" si="2"/>
        <v>-0.05</v>
      </c>
      <c r="J68" s="41">
        <f t="shared" si="2"/>
        <v>0</v>
      </c>
      <c r="K68" s="41">
        <f t="shared" si="2"/>
        <v>0</v>
      </c>
      <c r="L68" s="41">
        <f t="shared" si="2"/>
        <v>0</v>
      </c>
      <c r="M68" s="41">
        <f t="shared" si="2"/>
        <v>0</v>
      </c>
      <c r="N68" s="41"/>
      <c r="O68" s="41">
        <v>-0.05</v>
      </c>
      <c r="P68" s="41">
        <v>0</v>
      </c>
      <c r="Q68" s="41">
        <v>0</v>
      </c>
      <c r="R68" s="41">
        <v>0</v>
      </c>
      <c r="S68" s="41"/>
      <c r="T68" s="41"/>
      <c r="U68" s="41">
        <v>-0.05</v>
      </c>
      <c r="V68" s="41">
        <v>0</v>
      </c>
      <c r="W68" s="41">
        <v>0</v>
      </c>
      <c r="X68" s="41">
        <v>0</v>
      </c>
      <c r="Y68" s="41">
        <v>0</v>
      </c>
    </row>
    <row r="69" spans="1:25" ht="12.75">
      <c r="A69" s="53">
        <f t="shared" si="3"/>
        <v>53</v>
      </c>
      <c r="B69" s="41" t="s">
        <v>360</v>
      </c>
      <c r="C69" s="41">
        <f>SUM(O69:S69)</f>
        <v>0</v>
      </c>
      <c r="D69" s="41">
        <f>SUM(U69:Y69)</f>
        <v>0</v>
      </c>
      <c r="E69" s="41"/>
      <c r="F69" s="41"/>
      <c r="G69" s="41">
        <f>ROUND(SUM(C69:F69)/2,0)</f>
        <v>0</v>
      </c>
      <c r="H69" s="41"/>
      <c r="I69" s="41">
        <f t="shared" si="2"/>
        <v>0</v>
      </c>
      <c r="J69" s="41">
        <f t="shared" si="2"/>
        <v>0</v>
      </c>
      <c r="K69" s="41">
        <f t="shared" si="2"/>
        <v>0</v>
      </c>
      <c r="L69" s="41">
        <f t="shared" si="2"/>
        <v>0</v>
      </c>
      <c r="M69" s="41">
        <f t="shared" si="2"/>
        <v>0</v>
      </c>
      <c r="N69" s="41"/>
      <c r="O69" s="41">
        <v>0</v>
      </c>
      <c r="P69" s="41">
        <v>0</v>
      </c>
      <c r="Q69" s="41">
        <v>0</v>
      </c>
      <c r="R69" s="41">
        <v>0</v>
      </c>
      <c r="S69" s="41"/>
      <c r="T69" s="41"/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2.75">
      <c r="A70" s="53">
        <f t="shared" si="3"/>
        <v>54</v>
      </c>
      <c r="B70" s="41" t="s">
        <v>361</v>
      </c>
      <c r="C70" s="41">
        <f>SUM(O70:S70)</f>
        <v>12967.15</v>
      </c>
      <c r="D70" s="41">
        <f>SUM(U70:Y70)</f>
        <v>12967.15</v>
      </c>
      <c r="E70" s="41"/>
      <c r="F70" s="41"/>
      <c r="G70" s="41">
        <f>ROUND(SUM(C70:F70)/2,0)</f>
        <v>12967</v>
      </c>
      <c r="H70" s="41"/>
      <c r="I70" s="41">
        <f>(+O70+U70)/2</f>
        <v>12967.15</v>
      </c>
      <c r="J70" s="41">
        <f>(+P70+V70)/2</f>
        <v>0</v>
      </c>
      <c r="K70" s="41">
        <f>(+Q70+W70)/2</f>
        <v>0</v>
      </c>
      <c r="L70" s="41">
        <f>(+R70+X70)/2</f>
        <v>0</v>
      </c>
      <c r="M70" s="41">
        <f>(+S70+Y70)/2</f>
        <v>0</v>
      </c>
      <c r="N70" s="41"/>
      <c r="O70" s="41">
        <v>12967.15</v>
      </c>
      <c r="P70" s="41">
        <v>0</v>
      </c>
      <c r="Q70" s="41">
        <v>0</v>
      </c>
      <c r="R70" s="41">
        <v>0</v>
      </c>
      <c r="S70" s="41"/>
      <c r="T70" s="41"/>
      <c r="U70" s="41">
        <v>12967.15</v>
      </c>
      <c r="V70" s="41">
        <v>0</v>
      </c>
      <c r="W70" s="41">
        <v>0</v>
      </c>
      <c r="X70" s="41">
        <v>0</v>
      </c>
      <c r="Y70" s="41">
        <v>0</v>
      </c>
    </row>
    <row r="71" spans="1:25" ht="12.75">
      <c r="A71" s="53">
        <f t="shared" si="3"/>
        <v>55</v>
      </c>
      <c r="B71" s="41" t="s">
        <v>362</v>
      </c>
      <c r="C71" s="41">
        <f t="shared" si="4"/>
        <v>-0.05</v>
      </c>
      <c r="D71" s="41">
        <f t="shared" si="0"/>
        <v>4583.2</v>
      </c>
      <c r="E71" s="41"/>
      <c r="F71" s="41"/>
      <c r="G71" s="41">
        <f t="shared" si="6"/>
        <v>2292</v>
      </c>
      <c r="H71" s="41"/>
      <c r="I71" s="41">
        <f t="shared" si="2"/>
        <v>2291.575</v>
      </c>
      <c r="J71" s="41">
        <f t="shared" si="2"/>
        <v>0</v>
      </c>
      <c r="K71" s="41">
        <f t="shared" si="2"/>
        <v>0</v>
      </c>
      <c r="L71" s="41">
        <f t="shared" si="2"/>
        <v>0</v>
      </c>
      <c r="M71" s="41">
        <f t="shared" si="2"/>
        <v>0</v>
      </c>
      <c r="N71" s="41"/>
      <c r="O71" s="41">
        <v>-0.05</v>
      </c>
      <c r="P71" s="41">
        <v>0</v>
      </c>
      <c r="Q71" s="41">
        <v>0</v>
      </c>
      <c r="R71" s="41">
        <v>0</v>
      </c>
      <c r="S71" s="41"/>
      <c r="T71" s="41"/>
      <c r="U71" s="41">
        <v>4583.2</v>
      </c>
      <c r="V71" s="41">
        <v>0</v>
      </c>
      <c r="W71" s="41">
        <v>0</v>
      </c>
      <c r="X71" s="41">
        <v>0</v>
      </c>
      <c r="Y71" s="41">
        <v>0</v>
      </c>
    </row>
    <row r="72" spans="1:25" ht="12.75">
      <c r="A72" s="53">
        <f t="shared" si="3"/>
        <v>56</v>
      </c>
      <c r="B72" s="41" t="s">
        <v>195</v>
      </c>
      <c r="C72" s="41">
        <f t="shared" si="4"/>
        <v>205515.27</v>
      </c>
      <c r="D72" s="41">
        <f t="shared" si="0"/>
        <v>204955.27</v>
      </c>
      <c r="E72" s="41"/>
      <c r="F72" s="41"/>
      <c r="G72" s="41">
        <f t="shared" si="6"/>
        <v>205235</v>
      </c>
      <c r="H72" s="41"/>
      <c r="I72" s="41">
        <f t="shared" si="2"/>
        <v>0</v>
      </c>
      <c r="J72" s="41">
        <f t="shared" si="2"/>
        <v>0</v>
      </c>
      <c r="K72" s="41">
        <f t="shared" si="2"/>
        <v>0</v>
      </c>
      <c r="L72" s="41">
        <f t="shared" si="2"/>
        <v>205235.27</v>
      </c>
      <c r="M72" s="41">
        <f t="shared" si="2"/>
        <v>0</v>
      </c>
      <c r="N72" s="41"/>
      <c r="O72" s="41">
        <v>0</v>
      </c>
      <c r="P72" s="41">
        <v>0</v>
      </c>
      <c r="Q72" s="41">
        <v>0</v>
      </c>
      <c r="R72" s="41">
        <v>205515.27</v>
      </c>
      <c r="S72" s="41"/>
      <c r="T72" s="41"/>
      <c r="U72" s="41">
        <v>0</v>
      </c>
      <c r="V72" s="41">
        <v>0</v>
      </c>
      <c r="W72" s="41">
        <v>0</v>
      </c>
      <c r="X72" s="41">
        <v>204955.27</v>
      </c>
      <c r="Y72" s="41">
        <v>0</v>
      </c>
    </row>
    <row r="73" spans="1:25" ht="12.75">
      <c r="A73" s="53">
        <f t="shared" si="3"/>
        <v>57</v>
      </c>
      <c r="B73" s="41" t="s">
        <v>363</v>
      </c>
      <c r="C73" s="41">
        <f t="shared" si="4"/>
        <v>6535604.13</v>
      </c>
      <c r="D73" s="41">
        <f t="shared" si="0"/>
        <v>3783383.48</v>
      </c>
      <c r="E73" s="41"/>
      <c r="F73" s="41"/>
      <c r="G73" s="41">
        <f t="shared" si="6"/>
        <v>5159494</v>
      </c>
      <c r="H73" s="41"/>
      <c r="I73" s="41">
        <f t="shared" si="2"/>
        <v>5159493.805</v>
      </c>
      <c r="J73" s="41">
        <f t="shared" si="2"/>
        <v>0</v>
      </c>
      <c r="K73" s="41">
        <f t="shared" si="2"/>
        <v>0</v>
      </c>
      <c r="L73" s="41">
        <f t="shared" si="2"/>
        <v>0</v>
      </c>
      <c r="M73" s="41">
        <f t="shared" si="2"/>
        <v>0</v>
      </c>
      <c r="N73" s="41"/>
      <c r="O73" s="41">
        <v>6535604.13</v>
      </c>
      <c r="P73" s="41">
        <v>0</v>
      </c>
      <c r="Q73" s="41">
        <v>0</v>
      </c>
      <c r="R73" s="41">
        <v>0</v>
      </c>
      <c r="S73" s="41"/>
      <c r="T73" s="41"/>
      <c r="U73" s="41">
        <v>3783383.48</v>
      </c>
      <c r="V73" s="41">
        <v>0</v>
      </c>
      <c r="W73" s="41">
        <v>0</v>
      </c>
      <c r="X73" s="41">
        <v>0</v>
      </c>
      <c r="Y73" s="41">
        <v>0</v>
      </c>
    </row>
    <row r="74" spans="1:25" ht="12.75">
      <c r="A74" s="53">
        <f t="shared" si="3"/>
        <v>58</v>
      </c>
      <c r="B74" s="41" t="s">
        <v>364</v>
      </c>
      <c r="C74" s="41">
        <f t="shared" si="4"/>
        <v>152500860.2</v>
      </c>
      <c r="D74" s="41">
        <f t="shared" si="0"/>
        <v>208989480.72</v>
      </c>
      <c r="E74" s="41"/>
      <c r="F74" s="41"/>
      <c r="G74" s="41">
        <f t="shared" si="6"/>
        <v>180745170</v>
      </c>
      <c r="H74" s="41"/>
      <c r="I74" s="41">
        <f t="shared" si="2"/>
        <v>0</v>
      </c>
      <c r="J74" s="41">
        <f t="shared" si="2"/>
        <v>180745170.45999998</v>
      </c>
      <c r="K74" s="41">
        <f t="shared" si="2"/>
        <v>0</v>
      </c>
      <c r="L74" s="41">
        <f t="shared" si="2"/>
        <v>0</v>
      </c>
      <c r="M74" s="41">
        <f t="shared" si="2"/>
        <v>0</v>
      </c>
      <c r="N74" s="41"/>
      <c r="O74" s="41">
        <v>0</v>
      </c>
      <c r="P74" s="41">
        <v>152500860.2</v>
      </c>
      <c r="Q74" s="41">
        <v>0</v>
      </c>
      <c r="R74" s="41">
        <v>0</v>
      </c>
      <c r="S74" s="41"/>
      <c r="T74" s="41"/>
      <c r="U74" s="41">
        <v>0</v>
      </c>
      <c r="V74" s="41">
        <v>208989480.72</v>
      </c>
      <c r="W74" s="41">
        <v>0</v>
      </c>
      <c r="X74" s="41">
        <v>0</v>
      </c>
      <c r="Y74" s="41">
        <v>0</v>
      </c>
    </row>
    <row r="75" spans="1:25" ht="12.75">
      <c r="A75" s="53">
        <f t="shared" si="3"/>
        <v>59</v>
      </c>
      <c r="B75" s="41" t="s">
        <v>199</v>
      </c>
      <c r="C75" s="41">
        <f t="shared" si="4"/>
        <v>24658.56</v>
      </c>
      <c r="D75" s="41">
        <f t="shared" si="0"/>
        <v>61604.630000000005</v>
      </c>
      <c r="E75" s="41"/>
      <c r="F75" s="41"/>
      <c r="G75" s="41">
        <f t="shared" si="6"/>
        <v>43132</v>
      </c>
      <c r="H75" s="41"/>
      <c r="I75" s="41">
        <f t="shared" si="2"/>
        <v>1483.2</v>
      </c>
      <c r="J75" s="41">
        <f t="shared" si="2"/>
        <v>21918.165</v>
      </c>
      <c r="K75" s="41">
        <f t="shared" si="2"/>
        <v>34.555</v>
      </c>
      <c r="L75" s="41">
        <f t="shared" si="2"/>
        <v>19695.675</v>
      </c>
      <c r="M75" s="41">
        <f t="shared" si="2"/>
        <v>0</v>
      </c>
      <c r="N75" s="41"/>
      <c r="O75" s="41">
        <v>-673.69</v>
      </c>
      <c r="P75" s="41">
        <v>24448.8</v>
      </c>
      <c r="Q75" s="41">
        <v>12</v>
      </c>
      <c r="R75" s="41">
        <v>871.45</v>
      </c>
      <c r="S75" s="41"/>
      <c r="T75" s="41"/>
      <c r="U75" s="41">
        <v>3640.09</v>
      </c>
      <c r="V75" s="41">
        <v>19387.53</v>
      </c>
      <c r="W75" s="41">
        <v>57.11</v>
      </c>
      <c r="X75" s="41">
        <v>38519.9</v>
      </c>
      <c r="Y75" s="41">
        <v>0</v>
      </c>
    </row>
    <row r="76" spans="1:25" ht="12.75">
      <c r="A76" s="53">
        <f t="shared" si="3"/>
        <v>60</v>
      </c>
      <c r="B76" s="41" t="s">
        <v>365</v>
      </c>
      <c r="C76" s="41">
        <f t="shared" si="4"/>
        <v>-0.25</v>
      </c>
      <c r="D76" s="41">
        <f t="shared" si="0"/>
        <v>-0.25</v>
      </c>
      <c r="E76" s="41"/>
      <c r="F76" s="41"/>
      <c r="G76" s="41">
        <f t="shared" si="6"/>
        <v>0</v>
      </c>
      <c r="H76" s="41"/>
      <c r="I76" s="41">
        <f t="shared" si="2"/>
        <v>0</v>
      </c>
      <c r="J76" s="41">
        <f t="shared" si="2"/>
        <v>0</v>
      </c>
      <c r="K76" s="41">
        <f t="shared" si="2"/>
        <v>0</v>
      </c>
      <c r="L76" s="41">
        <f t="shared" si="2"/>
        <v>-0.25</v>
      </c>
      <c r="M76" s="41">
        <f t="shared" si="2"/>
        <v>0</v>
      </c>
      <c r="N76" s="41"/>
      <c r="O76" s="41">
        <v>0</v>
      </c>
      <c r="P76" s="41">
        <v>0</v>
      </c>
      <c r="Q76" s="41">
        <v>0</v>
      </c>
      <c r="R76" s="41">
        <v>-0.25</v>
      </c>
      <c r="S76" s="41"/>
      <c r="T76" s="41"/>
      <c r="U76" s="41">
        <v>0</v>
      </c>
      <c r="V76" s="41">
        <v>0</v>
      </c>
      <c r="W76" s="41">
        <v>0</v>
      </c>
      <c r="X76" s="41">
        <v>-0.25</v>
      </c>
      <c r="Y76" s="41">
        <v>0</v>
      </c>
    </row>
    <row r="77" spans="1:25" ht="12.75">
      <c r="A77" s="53">
        <f t="shared" si="3"/>
        <v>61</v>
      </c>
      <c r="B77" s="41" t="s">
        <v>366</v>
      </c>
      <c r="C77" s="41">
        <f t="shared" si="4"/>
        <v>4099654.27</v>
      </c>
      <c r="D77" s="41">
        <f t="shared" si="0"/>
        <v>4160537.47</v>
      </c>
      <c r="E77" s="41"/>
      <c r="F77" s="41"/>
      <c r="G77" s="41">
        <f t="shared" si="6"/>
        <v>4130096</v>
      </c>
      <c r="H77" s="41"/>
      <c r="I77" s="41">
        <f t="shared" si="2"/>
        <v>0</v>
      </c>
      <c r="J77" s="41">
        <f t="shared" si="2"/>
        <v>4130095.87</v>
      </c>
      <c r="K77" s="41">
        <f t="shared" si="2"/>
        <v>0</v>
      </c>
      <c r="L77" s="41">
        <f t="shared" si="2"/>
        <v>0</v>
      </c>
      <c r="M77" s="41">
        <f t="shared" si="2"/>
        <v>0</v>
      </c>
      <c r="N77" s="41"/>
      <c r="O77" s="41">
        <v>0</v>
      </c>
      <c r="P77" s="41">
        <f>4099964.27-310</f>
        <v>4099654.27</v>
      </c>
      <c r="Q77" s="41">
        <v>0</v>
      </c>
      <c r="R77" s="41">
        <v>0</v>
      </c>
      <c r="S77" s="41"/>
      <c r="T77" s="41"/>
      <c r="U77" s="41">
        <v>0</v>
      </c>
      <c r="V77" s="41">
        <f>4160847.47-310</f>
        <v>4160537.47</v>
      </c>
      <c r="W77" s="41">
        <v>0</v>
      </c>
      <c r="X77" s="41">
        <v>0</v>
      </c>
      <c r="Y77" s="41">
        <v>0</v>
      </c>
    </row>
    <row r="78" spans="1:25" ht="12.75">
      <c r="A78" s="53">
        <f t="shared" si="3"/>
        <v>62</v>
      </c>
      <c r="B78" s="41" t="s">
        <v>367</v>
      </c>
      <c r="C78" s="41">
        <f t="shared" si="4"/>
        <v>26422627.71</v>
      </c>
      <c r="D78" s="41">
        <f t="shared" si="0"/>
        <v>26735415.36</v>
      </c>
      <c r="E78" s="41"/>
      <c r="F78" s="41"/>
      <c r="G78" s="41">
        <f t="shared" si="6"/>
        <v>26579022</v>
      </c>
      <c r="H78" s="41"/>
      <c r="I78" s="41">
        <f t="shared" si="2"/>
        <v>0</v>
      </c>
      <c r="J78" s="41">
        <f t="shared" si="2"/>
        <v>26579021.535</v>
      </c>
      <c r="K78" s="41">
        <f t="shared" si="2"/>
        <v>0</v>
      </c>
      <c r="L78" s="41">
        <f t="shared" si="2"/>
        <v>0</v>
      </c>
      <c r="M78" s="41">
        <f t="shared" si="2"/>
        <v>0</v>
      </c>
      <c r="N78" s="41"/>
      <c r="O78" s="41">
        <v>0</v>
      </c>
      <c r="P78" s="41">
        <f>26422030.71+597</f>
        <v>26422627.71</v>
      </c>
      <c r="Q78" s="41">
        <v>0</v>
      </c>
      <c r="R78" s="41">
        <v>0</v>
      </c>
      <c r="S78" s="41"/>
      <c r="T78" s="41"/>
      <c r="U78" s="41">
        <v>0</v>
      </c>
      <c r="V78" s="41">
        <f>26734818.36+597</f>
        <v>26735415.36</v>
      </c>
      <c r="W78" s="41">
        <v>0</v>
      </c>
      <c r="X78" s="41">
        <v>0</v>
      </c>
      <c r="Y78" s="41">
        <v>0</v>
      </c>
    </row>
    <row r="79" spans="1:25" ht="12.75">
      <c r="A79" s="53">
        <f t="shared" si="3"/>
        <v>63</v>
      </c>
      <c r="B79" s="41" t="s">
        <v>368</v>
      </c>
      <c r="C79" s="41">
        <f t="shared" si="4"/>
        <v>8881068.21</v>
      </c>
      <c r="D79" s="41">
        <f t="shared" si="0"/>
        <v>8924906.41</v>
      </c>
      <c r="E79" s="41"/>
      <c r="F79" s="41"/>
      <c r="G79" s="41">
        <f t="shared" si="6"/>
        <v>8902987</v>
      </c>
      <c r="H79" s="41"/>
      <c r="I79" s="41">
        <f t="shared" si="2"/>
        <v>0</v>
      </c>
      <c r="J79" s="41">
        <f t="shared" si="2"/>
        <v>8902987.31</v>
      </c>
      <c r="K79" s="41">
        <f t="shared" si="2"/>
        <v>0</v>
      </c>
      <c r="L79" s="41">
        <f t="shared" si="2"/>
        <v>0</v>
      </c>
      <c r="M79" s="41">
        <f t="shared" si="2"/>
        <v>0</v>
      </c>
      <c r="N79" s="41"/>
      <c r="O79" s="41">
        <v>0</v>
      </c>
      <c r="P79" s="41">
        <f>8881045.21+23</f>
        <v>8881068.21</v>
      </c>
      <c r="Q79" s="41">
        <v>0</v>
      </c>
      <c r="R79" s="41">
        <v>0</v>
      </c>
      <c r="S79" s="41"/>
      <c r="T79" s="41"/>
      <c r="U79" s="41">
        <v>0</v>
      </c>
      <c r="V79" s="41">
        <f>8924883.41+23</f>
        <v>8924906.41</v>
      </c>
      <c r="W79" s="41">
        <v>0</v>
      </c>
      <c r="X79" s="41">
        <v>0</v>
      </c>
      <c r="Y79" s="41">
        <v>0</v>
      </c>
    </row>
    <row r="80" spans="1:25" ht="12.75">
      <c r="A80" s="53">
        <f t="shared" si="3"/>
        <v>64</v>
      </c>
      <c r="B80" s="41" t="s">
        <v>369</v>
      </c>
      <c r="C80" s="41">
        <f t="shared" si="4"/>
        <v>-24467703</v>
      </c>
      <c r="D80" s="41">
        <f t="shared" si="0"/>
        <v>-24467703</v>
      </c>
      <c r="E80" s="41"/>
      <c r="F80" s="41"/>
      <c r="G80" s="41">
        <f t="shared" si="6"/>
        <v>-24467703</v>
      </c>
      <c r="H80" s="41"/>
      <c r="I80" s="41">
        <f t="shared" si="2"/>
        <v>0</v>
      </c>
      <c r="J80" s="41">
        <f t="shared" si="2"/>
        <v>-24467703</v>
      </c>
      <c r="K80" s="41">
        <f t="shared" si="2"/>
        <v>0</v>
      </c>
      <c r="L80" s="41">
        <f t="shared" si="2"/>
        <v>0</v>
      </c>
      <c r="M80" s="41">
        <f t="shared" si="2"/>
        <v>0</v>
      </c>
      <c r="N80" s="41"/>
      <c r="O80" s="41">
        <v>0</v>
      </c>
      <c r="P80" s="41">
        <v>-24467703</v>
      </c>
      <c r="Q80" s="41">
        <v>0</v>
      </c>
      <c r="R80" s="41">
        <v>0</v>
      </c>
      <c r="S80" s="41"/>
      <c r="T80" s="41"/>
      <c r="U80" s="41">
        <v>0</v>
      </c>
      <c r="V80" s="41">
        <v>-24467703</v>
      </c>
      <c r="W80" s="41">
        <v>0</v>
      </c>
      <c r="X80" s="41">
        <v>0</v>
      </c>
      <c r="Y80" s="41">
        <v>0</v>
      </c>
    </row>
    <row r="81" spans="1:25" ht="12.75">
      <c r="A81" s="53">
        <f t="shared" si="3"/>
        <v>65</v>
      </c>
      <c r="B81" s="41" t="s">
        <v>370</v>
      </c>
      <c r="C81" s="41">
        <f>SUM(O81:S81)</f>
        <v>0</v>
      </c>
      <c r="D81" s="41">
        <f>SUM(U81:Y81)</f>
        <v>0</v>
      </c>
      <c r="E81" s="41"/>
      <c r="F81" s="41"/>
      <c r="G81" s="41">
        <f>ROUND(SUM(C81:F81)/2,0)</f>
        <v>0</v>
      </c>
      <c r="H81" s="41"/>
      <c r="I81" s="41">
        <f>(+O81+U81)/2</f>
        <v>0</v>
      </c>
      <c r="J81" s="41">
        <f>(+P81+V81)/2</f>
        <v>0</v>
      </c>
      <c r="K81" s="41">
        <f>(+Q81+W81)/2</f>
        <v>0</v>
      </c>
      <c r="L81" s="41">
        <f>(+R81+X81)/2</f>
        <v>0</v>
      </c>
      <c r="M81" s="41">
        <f t="shared" si="2"/>
        <v>0</v>
      </c>
      <c r="N81" s="41"/>
      <c r="O81" s="41">
        <v>0</v>
      </c>
      <c r="P81" s="41">
        <v>0</v>
      </c>
      <c r="Q81" s="41">
        <v>0</v>
      </c>
      <c r="R81" s="41">
        <v>0</v>
      </c>
      <c r="S81" s="41"/>
      <c r="T81" s="41"/>
      <c r="U81" s="41">
        <v>0</v>
      </c>
      <c r="V81" s="41">
        <v>0</v>
      </c>
      <c r="W81" s="41">
        <v>0</v>
      </c>
      <c r="X81" s="41">
        <v>0</v>
      </c>
      <c r="Y81" s="41">
        <v>0</v>
      </c>
    </row>
    <row r="82" spans="1:25" ht="12.75">
      <c r="A82" s="53">
        <f aca="true" t="shared" si="7" ref="A82:A127">A81+1</f>
        <v>66</v>
      </c>
      <c r="B82" s="41" t="s">
        <v>371</v>
      </c>
      <c r="C82" s="41">
        <f t="shared" si="4"/>
        <v>14684194.08</v>
      </c>
      <c r="D82" s="41">
        <f t="shared" si="0"/>
        <v>14663357.88</v>
      </c>
      <c r="E82" s="41"/>
      <c r="F82" s="41"/>
      <c r="G82" s="41">
        <f t="shared" si="6"/>
        <v>14673776</v>
      </c>
      <c r="H82" s="41"/>
      <c r="I82" s="41">
        <f t="shared" si="2"/>
        <v>0</v>
      </c>
      <c r="J82" s="41">
        <f t="shared" si="2"/>
        <v>14673775.98</v>
      </c>
      <c r="K82" s="41">
        <f t="shared" si="2"/>
        <v>0</v>
      </c>
      <c r="L82" s="41">
        <f t="shared" si="2"/>
        <v>0</v>
      </c>
      <c r="M82" s="41">
        <f t="shared" si="2"/>
        <v>0</v>
      </c>
      <c r="N82" s="41"/>
      <c r="O82" s="41">
        <v>0</v>
      </c>
      <c r="P82" s="41">
        <v>14684194.08</v>
      </c>
      <c r="Q82" s="41">
        <v>0</v>
      </c>
      <c r="R82" s="41">
        <v>0</v>
      </c>
      <c r="S82" s="41"/>
      <c r="T82" s="41"/>
      <c r="U82" s="41">
        <v>0</v>
      </c>
      <c r="V82" s="41">
        <v>14663357.88</v>
      </c>
      <c r="W82" s="41">
        <v>0</v>
      </c>
      <c r="X82" s="41">
        <v>0</v>
      </c>
      <c r="Y82" s="41">
        <v>0</v>
      </c>
    </row>
    <row r="83" spans="1:25" ht="12.75">
      <c r="A83" s="53">
        <f t="shared" si="7"/>
        <v>67</v>
      </c>
      <c r="B83" s="41" t="s">
        <v>372</v>
      </c>
      <c r="C83" s="41">
        <f t="shared" si="4"/>
        <v>45077870.99</v>
      </c>
      <c r="D83" s="41">
        <f t="shared" si="0"/>
        <v>44889123.69</v>
      </c>
      <c r="E83" s="41"/>
      <c r="F83" s="41"/>
      <c r="G83" s="41">
        <f t="shared" si="6"/>
        <v>44983497</v>
      </c>
      <c r="H83" s="41"/>
      <c r="I83" s="41">
        <f aca="true" t="shared" si="8" ref="I83:M129">(+O83+U83)/2</f>
        <v>0</v>
      </c>
      <c r="J83" s="41">
        <f t="shared" si="8"/>
        <v>44983497.34</v>
      </c>
      <c r="K83" s="41">
        <f t="shared" si="8"/>
        <v>0</v>
      </c>
      <c r="L83" s="41">
        <f t="shared" si="8"/>
        <v>0</v>
      </c>
      <c r="M83" s="41">
        <f t="shared" si="8"/>
        <v>0</v>
      </c>
      <c r="N83" s="41"/>
      <c r="O83" s="41">
        <v>0</v>
      </c>
      <c r="P83" s="41">
        <v>45077870.99</v>
      </c>
      <c r="Q83" s="41">
        <v>0</v>
      </c>
      <c r="R83" s="41">
        <v>0</v>
      </c>
      <c r="S83" s="41"/>
      <c r="T83" s="41"/>
      <c r="U83" s="41">
        <v>0</v>
      </c>
      <c r="V83" s="41">
        <v>44889123.69</v>
      </c>
      <c r="W83" s="41">
        <v>0</v>
      </c>
      <c r="X83" s="41">
        <v>0</v>
      </c>
      <c r="Y83" s="41">
        <v>0</v>
      </c>
    </row>
    <row r="84" spans="1:25" ht="12.75">
      <c r="A84" s="53">
        <f t="shared" si="7"/>
        <v>68</v>
      </c>
      <c r="B84" s="41" t="s">
        <v>373</v>
      </c>
      <c r="C84" s="41">
        <f t="shared" si="4"/>
        <v>8517409.98</v>
      </c>
      <c r="D84" s="41">
        <f t="shared" si="0"/>
        <v>8477404.28</v>
      </c>
      <c r="E84" s="41"/>
      <c r="F84" s="41"/>
      <c r="G84" s="41">
        <f t="shared" si="6"/>
        <v>8497407</v>
      </c>
      <c r="H84" s="41"/>
      <c r="I84" s="41">
        <f t="shared" si="8"/>
        <v>0</v>
      </c>
      <c r="J84" s="41">
        <f t="shared" si="8"/>
        <v>8497407.129999999</v>
      </c>
      <c r="K84" s="41">
        <f t="shared" si="8"/>
        <v>0</v>
      </c>
      <c r="L84" s="41">
        <f t="shared" si="8"/>
        <v>0</v>
      </c>
      <c r="M84" s="41">
        <f t="shared" si="8"/>
        <v>0</v>
      </c>
      <c r="N84" s="41"/>
      <c r="O84" s="41">
        <v>0</v>
      </c>
      <c r="P84" s="41">
        <v>8517409.98</v>
      </c>
      <c r="Q84" s="41">
        <v>0</v>
      </c>
      <c r="R84" s="41">
        <v>0</v>
      </c>
      <c r="S84" s="41"/>
      <c r="T84" s="41"/>
      <c r="U84" s="41">
        <v>0</v>
      </c>
      <c r="V84" s="41">
        <v>8477404.28</v>
      </c>
      <c r="W84" s="41">
        <v>0</v>
      </c>
      <c r="X84" s="41">
        <v>0</v>
      </c>
      <c r="Y84" s="41">
        <v>0</v>
      </c>
    </row>
    <row r="85" spans="1:25" ht="12.75">
      <c r="A85" s="53">
        <f t="shared" si="7"/>
        <v>69</v>
      </c>
      <c r="B85" s="41" t="s">
        <v>374</v>
      </c>
      <c r="C85" s="41">
        <f t="shared" si="4"/>
        <v>-68369544.71</v>
      </c>
      <c r="D85" s="41">
        <f t="shared" si="0"/>
        <v>-68418989.58</v>
      </c>
      <c r="E85" s="41"/>
      <c r="F85" s="41"/>
      <c r="G85" s="41">
        <f t="shared" si="6"/>
        <v>-68394267</v>
      </c>
      <c r="H85" s="41"/>
      <c r="I85" s="41">
        <f t="shared" si="8"/>
        <v>0</v>
      </c>
      <c r="J85" s="41">
        <f t="shared" si="8"/>
        <v>-68394267.145</v>
      </c>
      <c r="K85" s="41">
        <f t="shared" si="8"/>
        <v>0</v>
      </c>
      <c r="L85" s="41">
        <f t="shared" si="8"/>
        <v>0</v>
      </c>
      <c r="M85" s="41">
        <f t="shared" si="8"/>
        <v>0</v>
      </c>
      <c r="N85" s="41"/>
      <c r="O85" s="41">
        <v>0</v>
      </c>
      <c r="P85" s="41">
        <v>-68369544.71</v>
      </c>
      <c r="Q85" s="41">
        <v>0</v>
      </c>
      <c r="R85" s="41">
        <v>0</v>
      </c>
      <c r="S85" s="41"/>
      <c r="T85" s="41"/>
      <c r="U85" s="41">
        <v>0</v>
      </c>
      <c r="V85" s="41">
        <v>-68418989.58</v>
      </c>
      <c r="W85" s="41">
        <v>0</v>
      </c>
      <c r="X85" s="41">
        <v>0</v>
      </c>
      <c r="Y85" s="41">
        <v>0</v>
      </c>
    </row>
    <row r="86" spans="1:25" ht="12.75">
      <c r="A86" s="53">
        <f t="shared" si="7"/>
        <v>70</v>
      </c>
      <c r="B86" s="41" t="s">
        <v>375</v>
      </c>
      <c r="C86" s="41">
        <f t="shared" si="4"/>
        <v>0</v>
      </c>
      <c r="D86" s="41">
        <f t="shared" si="0"/>
        <v>0</v>
      </c>
      <c r="E86" s="41"/>
      <c r="F86" s="41"/>
      <c r="G86" s="41">
        <f t="shared" si="6"/>
        <v>0</v>
      </c>
      <c r="H86" s="41"/>
      <c r="I86" s="41">
        <f t="shared" si="8"/>
        <v>0</v>
      </c>
      <c r="J86" s="41">
        <f t="shared" si="8"/>
        <v>0</v>
      </c>
      <c r="K86" s="41">
        <f t="shared" si="8"/>
        <v>0</v>
      </c>
      <c r="L86" s="41">
        <f t="shared" si="8"/>
        <v>0</v>
      </c>
      <c r="M86" s="41">
        <f t="shared" si="8"/>
        <v>0</v>
      </c>
      <c r="N86" s="41"/>
      <c r="O86" s="41">
        <v>0</v>
      </c>
      <c r="P86" s="41">
        <v>0</v>
      </c>
      <c r="Q86" s="41">
        <v>0</v>
      </c>
      <c r="R86" s="41">
        <v>0</v>
      </c>
      <c r="S86" s="41"/>
      <c r="T86" s="41"/>
      <c r="U86" s="41">
        <v>0</v>
      </c>
      <c r="V86" s="41">
        <v>0</v>
      </c>
      <c r="W86" s="41">
        <v>0</v>
      </c>
      <c r="X86" s="41">
        <v>0</v>
      </c>
      <c r="Y86" s="41">
        <v>0</v>
      </c>
    </row>
    <row r="87" spans="1:25" ht="12.75">
      <c r="A87" s="53">
        <f t="shared" si="7"/>
        <v>71</v>
      </c>
      <c r="B87" s="41" t="s">
        <v>376</v>
      </c>
      <c r="C87" s="41">
        <f t="shared" si="4"/>
        <v>-18190054.18</v>
      </c>
      <c r="D87" s="41">
        <f t="shared" si="0"/>
        <v>-18189657.63</v>
      </c>
      <c r="E87" s="41"/>
      <c r="F87" s="41"/>
      <c r="G87" s="41">
        <f t="shared" si="6"/>
        <v>-18189856</v>
      </c>
      <c r="H87" s="41"/>
      <c r="I87" s="41">
        <f t="shared" si="8"/>
        <v>0</v>
      </c>
      <c r="J87" s="41">
        <f t="shared" si="8"/>
        <v>-18189855.905</v>
      </c>
      <c r="K87" s="41">
        <f t="shared" si="8"/>
        <v>0</v>
      </c>
      <c r="L87" s="41">
        <f t="shared" si="8"/>
        <v>0</v>
      </c>
      <c r="M87" s="41">
        <f t="shared" si="8"/>
        <v>0</v>
      </c>
      <c r="N87" s="41"/>
      <c r="O87" s="41">
        <v>0</v>
      </c>
      <c r="P87" s="41">
        <v>-18190054.18</v>
      </c>
      <c r="Q87" s="41">
        <v>0</v>
      </c>
      <c r="R87" s="41">
        <v>0</v>
      </c>
      <c r="S87" s="41"/>
      <c r="T87" s="41"/>
      <c r="U87" s="41">
        <v>0</v>
      </c>
      <c r="V87" s="41">
        <v>-18189657.63</v>
      </c>
      <c r="W87" s="41">
        <v>0</v>
      </c>
      <c r="X87" s="41">
        <v>0</v>
      </c>
      <c r="Y87" s="41">
        <v>0</v>
      </c>
    </row>
    <row r="88" spans="1:25" ht="12.75">
      <c r="A88" s="53">
        <f t="shared" si="7"/>
        <v>72</v>
      </c>
      <c r="B88" s="41" t="s">
        <v>377</v>
      </c>
      <c r="C88" s="41">
        <f t="shared" si="4"/>
        <v>-12934986.09</v>
      </c>
      <c r="D88" s="41">
        <f t="shared" si="0"/>
        <v>-12937324.09</v>
      </c>
      <c r="E88" s="41"/>
      <c r="F88" s="41"/>
      <c r="G88" s="41">
        <f t="shared" si="6"/>
        <v>-12936155</v>
      </c>
      <c r="H88" s="41"/>
      <c r="I88" s="41">
        <f t="shared" si="8"/>
        <v>0</v>
      </c>
      <c r="J88" s="41">
        <f t="shared" si="8"/>
        <v>-12936155.09</v>
      </c>
      <c r="K88" s="41">
        <f t="shared" si="8"/>
        <v>0</v>
      </c>
      <c r="L88" s="41">
        <f t="shared" si="8"/>
        <v>0</v>
      </c>
      <c r="M88" s="41">
        <f t="shared" si="8"/>
        <v>0</v>
      </c>
      <c r="N88" s="41"/>
      <c r="O88" s="41">
        <v>0</v>
      </c>
      <c r="P88" s="41">
        <v>-12934986.09</v>
      </c>
      <c r="Q88" s="41">
        <v>0</v>
      </c>
      <c r="R88" s="41">
        <v>0</v>
      </c>
      <c r="S88" s="41"/>
      <c r="T88" s="41"/>
      <c r="U88" s="41">
        <v>0</v>
      </c>
      <c r="V88" s="41">
        <v>-12937324.09</v>
      </c>
      <c r="W88" s="41">
        <v>0</v>
      </c>
      <c r="X88" s="41">
        <v>0</v>
      </c>
      <c r="Y88" s="41">
        <v>0</v>
      </c>
    </row>
    <row r="89" spans="1:25" ht="12.75">
      <c r="A89" s="53">
        <f t="shared" si="7"/>
        <v>73</v>
      </c>
      <c r="B89" s="41" t="s">
        <v>378</v>
      </c>
      <c r="C89" s="41">
        <f t="shared" si="4"/>
        <v>-1274840.1</v>
      </c>
      <c r="D89" s="41">
        <f t="shared" si="0"/>
        <v>-1274329.8</v>
      </c>
      <c r="E89" s="41"/>
      <c r="F89" s="41"/>
      <c r="G89" s="41">
        <f t="shared" si="6"/>
        <v>-1274585</v>
      </c>
      <c r="H89" s="41"/>
      <c r="I89" s="41">
        <f t="shared" si="8"/>
        <v>0</v>
      </c>
      <c r="J89" s="41">
        <f t="shared" si="8"/>
        <v>-1274584.9500000002</v>
      </c>
      <c r="K89" s="41">
        <f t="shared" si="8"/>
        <v>0</v>
      </c>
      <c r="L89" s="41">
        <f t="shared" si="8"/>
        <v>0</v>
      </c>
      <c r="M89" s="41">
        <f t="shared" si="8"/>
        <v>0</v>
      </c>
      <c r="N89" s="41"/>
      <c r="O89" s="41">
        <v>0</v>
      </c>
      <c r="P89" s="41">
        <v>-1274840.1</v>
      </c>
      <c r="Q89" s="41">
        <v>0</v>
      </c>
      <c r="R89" s="41">
        <v>0</v>
      </c>
      <c r="S89" s="41"/>
      <c r="T89" s="41"/>
      <c r="U89" s="41">
        <v>0</v>
      </c>
      <c r="V89" s="41">
        <v>-1274329.8</v>
      </c>
      <c r="W89" s="41">
        <v>0</v>
      </c>
      <c r="X89" s="41">
        <v>0</v>
      </c>
      <c r="Y89" s="41">
        <v>0</v>
      </c>
    </row>
    <row r="90" spans="1:25" ht="12.75">
      <c r="A90" s="53">
        <f t="shared" si="7"/>
        <v>74</v>
      </c>
      <c r="B90" s="41" t="s">
        <v>379</v>
      </c>
      <c r="C90" s="41">
        <f t="shared" si="4"/>
        <v>5854868.83</v>
      </c>
      <c r="D90" s="41">
        <f t="shared" si="0"/>
        <v>5854259.39</v>
      </c>
      <c r="E90" s="41"/>
      <c r="F90" s="41"/>
      <c r="G90" s="41">
        <f t="shared" si="6"/>
        <v>5854564</v>
      </c>
      <c r="H90" s="41"/>
      <c r="I90" s="41">
        <f t="shared" si="8"/>
        <v>0</v>
      </c>
      <c r="J90" s="41">
        <f t="shared" si="8"/>
        <v>5854564.109999999</v>
      </c>
      <c r="K90" s="41">
        <f t="shared" si="8"/>
        <v>0</v>
      </c>
      <c r="L90" s="41">
        <f t="shared" si="8"/>
        <v>0</v>
      </c>
      <c r="M90" s="41">
        <f t="shared" si="8"/>
        <v>0</v>
      </c>
      <c r="N90" s="41"/>
      <c r="O90" s="41">
        <v>0</v>
      </c>
      <c r="P90" s="41">
        <v>5854868.83</v>
      </c>
      <c r="Q90" s="41">
        <v>0</v>
      </c>
      <c r="R90" s="41">
        <v>0</v>
      </c>
      <c r="S90" s="41"/>
      <c r="T90" s="41"/>
      <c r="U90" s="41">
        <v>0</v>
      </c>
      <c r="V90" s="41">
        <v>5854259.39</v>
      </c>
      <c r="W90" s="41">
        <v>0</v>
      </c>
      <c r="X90" s="41">
        <v>0</v>
      </c>
      <c r="Y90" s="41">
        <v>0</v>
      </c>
    </row>
    <row r="91" spans="1:25" ht="12.75">
      <c r="A91" s="53">
        <f t="shared" si="7"/>
        <v>75</v>
      </c>
      <c r="B91" s="41" t="s">
        <v>380</v>
      </c>
      <c r="C91" s="41">
        <f t="shared" si="4"/>
        <v>24253244.44</v>
      </c>
      <c r="D91" s="41">
        <f t="shared" si="0"/>
        <v>24252424.64</v>
      </c>
      <c r="E91" s="41"/>
      <c r="F91" s="41"/>
      <c r="G91" s="41">
        <f t="shared" si="6"/>
        <v>24252835</v>
      </c>
      <c r="H91" s="41"/>
      <c r="I91" s="41">
        <f t="shared" si="8"/>
        <v>0</v>
      </c>
      <c r="J91" s="41">
        <f t="shared" si="8"/>
        <v>24252834.54</v>
      </c>
      <c r="K91" s="41">
        <f t="shared" si="8"/>
        <v>0</v>
      </c>
      <c r="L91" s="41">
        <f t="shared" si="8"/>
        <v>0</v>
      </c>
      <c r="M91" s="41">
        <f t="shared" si="8"/>
        <v>0</v>
      </c>
      <c r="N91" s="41"/>
      <c r="O91" s="41">
        <v>0</v>
      </c>
      <c r="P91" s="41">
        <v>24253244.44</v>
      </c>
      <c r="Q91" s="41">
        <v>0</v>
      </c>
      <c r="R91" s="41">
        <v>0</v>
      </c>
      <c r="S91" s="41"/>
      <c r="T91" s="41"/>
      <c r="U91" s="41">
        <v>0</v>
      </c>
      <c r="V91" s="41">
        <v>24252424.64</v>
      </c>
      <c r="W91" s="41">
        <v>0</v>
      </c>
      <c r="X91" s="41">
        <v>0</v>
      </c>
      <c r="Y91" s="41">
        <v>0</v>
      </c>
    </row>
    <row r="92" spans="1:25" ht="12.75">
      <c r="A92" s="53">
        <f t="shared" si="7"/>
        <v>76</v>
      </c>
      <c r="B92" s="41" t="s">
        <v>381</v>
      </c>
      <c r="C92" s="41">
        <f t="shared" si="4"/>
        <v>1829623</v>
      </c>
      <c r="D92" s="41">
        <f t="shared" si="0"/>
        <v>1829015.84</v>
      </c>
      <c r="E92" s="41"/>
      <c r="F92" s="41"/>
      <c r="G92" s="41">
        <f t="shared" si="6"/>
        <v>1829319</v>
      </c>
      <c r="H92" s="41"/>
      <c r="I92" s="41">
        <f t="shared" si="8"/>
        <v>0</v>
      </c>
      <c r="J92" s="41">
        <f t="shared" si="8"/>
        <v>1829319.42</v>
      </c>
      <c r="K92" s="41">
        <f t="shared" si="8"/>
        <v>0</v>
      </c>
      <c r="L92" s="41">
        <f t="shared" si="8"/>
        <v>0</v>
      </c>
      <c r="M92" s="41">
        <f t="shared" si="8"/>
        <v>0</v>
      </c>
      <c r="N92" s="41"/>
      <c r="O92" s="41">
        <v>0</v>
      </c>
      <c r="P92" s="41">
        <v>1829623</v>
      </c>
      <c r="Q92" s="41">
        <v>0</v>
      </c>
      <c r="R92" s="41">
        <v>0</v>
      </c>
      <c r="S92" s="41"/>
      <c r="T92" s="41"/>
      <c r="U92" s="41">
        <v>0</v>
      </c>
      <c r="V92" s="41">
        <v>1829015.84</v>
      </c>
      <c r="W92" s="41">
        <v>0</v>
      </c>
      <c r="X92" s="41">
        <v>0</v>
      </c>
      <c r="Y92" s="41">
        <v>0</v>
      </c>
    </row>
    <row r="93" spans="1:25" ht="12.75">
      <c r="A93" s="53">
        <f t="shared" si="7"/>
        <v>77</v>
      </c>
      <c r="B93" s="41" t="s">
        <v>382</v>
      </c>
      <c r="C93" s="41">
        <f t="shared" si="4"/>
        <v>6440.98</v>
      </c>
      <c r="D93" s="41">
        <f t="shared" si="0"/>
        <v>5841.81</v>
      </c>
      <c r="E93" s="41"/>
      <c r="F93" s="41"/>
      <c r="G93" s="41">
        <f t="shared" si="6"/>
        <v>6141</v>
      </c>
      <c r="H93" s="41"/>
      <c r="I93" s="41">
        <f t="shared" si="8"/>
        <v>198.32999999999998</v>
      </c>
      <c r="J93" s="41">
        <f t="shared" si="8"/>
        <v>3267.35</v>
      </c>
      <c r="K93" s="41">
        <f t="shared" si="8"/>
        <v>1306.6950000000002</v>
      </c>
      <c r="L93" s="41">
        <f t="shared" si="8"/>
        <v>1369.02</v>
      </c>
      <c r="M93" s="41">
        <f t="shared" si="8"/>
        <v>0</v>
      </c>
      <c r="N93" s="41"/>
      <c r="O93" s="41">
        <v>207.99</v>
      </c>
      <c r="P93" s="41">
        <v>3426.72</v>
      </c>
      <c r="Q93" s="41">
        <v>1370.45</v>
      </c>
      <c r="R93" s="41">
        <v>1435.82</v>
      </c>
      <c r="S93" s="41"/>
      <c r="T93" s="41"/>
      <c r="U93" s="41">
        <v>188.67</v>
      </c>
      <c r="V93" s="41">
        <v>3107.98</v>
      </c>
      <c r="W93" s="41">
        <v>1242.94</v>
      </c>
      <c r="X93" s="41">
        <v>1302.22</v>
      </c>
      <c r="Y93" s="41">
        <v>0</v>
      </c>
    </row>
    <row r="94" spans="1:25" ht="12.75">
      <c r="A94" s="53">
        <f t="shared" si="7"/>
        <v>78</v>
      </c>
      <c r="B94" s="41" t="s">
        <v>201</v>
      </c>
      <c r="C94" s="41">
        <f t="shared" si="4"/>
        <v>8573156.850000001</v>
      </c>
      <c r="D94" s="41">
        <f t="shared" si="0"/>
        <v>-1437208.6600000001</v>
      </c>
      <c r="E94" s="41"/>
      <c r="F94" s="41"/>
      <c r="G94" s="41">
        <f t="shared" si="6"/>
        <v>3567974</v>
      </c>
      <c r="H94" s="41"/>
      <c r="I94" s="41">
        <f t="shared" si="8"/>
        <v>610005.08</v>
      </c>
      <c r="J94" s="41">
        <f t="shared" si="8"/>
        <v>1516696.5</v>
      </c>
      <c r="K94" s="41">
        <f t="shared" si="8"/>
        <v>273918.14999999997</v>
      </c>
      <c r="L94" s="41">
        <f t="shared" si="8"/>
        <v>1167354.365</v>
      </c>
      <c r="M94" s="41">
        <f t="shared" si="8"/>
        <v>0</v>
      </c>
      <c r="N94" s="41"/>
      <c r="O94" s="41">
        <v>1623058.16</v>
      </c>
      <c r="P94" s="41">
        <v>3272630.41</v>
      </c>
      <c r="Q94" s="41">
        <v>593095.45</v>
      </c>
      <c r="R94" s="41">
        <v>3084372.83</v>
      </c>
      <c r="S94" s="41"/>
      <c r="T94" s="41"/>
      <c r="U94" s="41">
        <v>-403048</v>
      </c>
      <c r="V94" s="41">
        <v>-239237.41</v>
      </c>
      <c r="W94" s="41">
        <v>-45259.15</v>
      </c>
      <c r="X94" s="41">
        <v>-749664.1</v>
      </c>
      <c r="Y94" s="41">
        <v>0</v>
      </c>
    </row>
    <row r="95" spans="1:25" ht="12.75">
      <c r="A95" s="53">
        <f t="shared" si="7"/>
        <v>79</v>
      </c>
      <c r="B95" s="41" t="s">
        <v>203</v>
      </c>
      <c r="C95" s="41">
        <f>SUM(O95:S95)</f>
        <v>6291724.75</v>
      </c>
      <c r="D95" s="41">
        <f>SUM(U95:Y95)</f>
        <v>-12049774.379999999</v>
      </c>
      <c r="E95" s="41"/>
      <c r="F95" s="41"/>
      <c r="G95" s="41">
        <f>ROUND(SUM(C95:F95)/2,0)</f>
        <v>-2879025</v>
      </c>
      <c r="H95" s="41"/>
      <c r="I95" s="41">
        <f>(+O95+U95)/2</f>
        <v>-600799.3</v>
      </c>
      <c r="J95" s="41">
        <f>(+P95+V95)/2</f>
        <v>-917788.26</v>
      </c>
      <c r="K95" s="41">
        <f>(+Q95+W95)/2</f>
        <v>-213917.23500000002</v>
      </c>
      <c r="L95" s="41">
        <f>(+R95+X95)/2</f>
        <v>-1146520.02</v>
      </c>
      <c r="M95" s="41">
        <f t="shared" si="8"/>
        <v>0</v>
      </c>
      <c r="N95" s="41"/>
      <c r="O95" s="41">
        <v>1348559.25</v>
      </c>
      <c r="P95" s="41">
        <v>2072914.98</v>
      </c>
      <c r="Q95" s="41">
        <v>486563.18</v>
      </c>
      <c r="R95" s="41">
        <v>2383687.34</v>
      </c>
      <c r="S95" s="41"/>
      <c r="T95" s="41"/>
      <c r="U95" s="41">
        <v>-2550157.85</v>
      </c>
      <c r="V95" s="41">
        <v>-3908491.5</v>
      </c>
      <c r="W95" s="41">
        <v>-914397.65</v>
      </c>
      <c r="X95" s="41">
        <v>-4676727.38</v>
      </c>
      <c r="Y95" s="41">
        <v>0</v>
      </c>
    </row>
    <row r="96" spans="1:25" ht="12.75">
      <c r="A96" s="53">
        <f t="shared" si="7"/>
        <v>80</v>
      </c>
      <c r="B96" s="41" t="s">
        <v>383</v>
      </c>
      <c r="C96" s="41">
        <f t="shared" si="4"/>
        <v>2029046.3</v>
      </c>
      <c r="D96" s="41">
        <f t="shared" si="0"/>
        <v>1703581.6700000002</v>
      </c>
      <c r="E96" s="41"/>
      <c r="F96" s="41"/>
      <c r="G96" s="41">
        <f t="shared" si="6"/>
        <v>1866314</v>
      </c>
      <c r="H96" s="41"/>
      <c r="I96" s="41">
        <f t="shared" si="8"/>
        <v>442696.875</v>
      </c>
      <c r="J96" s="41">
        <f t="shared" si="8"/>
        <v>1012788.61</v>
      </c>
      <c r="K96" s="41">
        <f t="shared" si="8"/>
        <v>124837.54</v>
      </c>
      <c r="L96" s="41">
        <f t="shared" si="8"/>
        <v>285990.95999999996</v>
      </c>
      <c r="M96" s="41">
        <f t="shared" si="8"/>
        <v>0</v>
      </c>
      <c r="N96" s="41"/>
      <c r="O96" s="41">
        <v>514122.62</v>
      </c>
      <c r="P96" s="41">
        <v>956185.25</v>
      </c>
      <c r="Q96" s="41">
        <v>167645.52</v>
      </c>
      <c r="R96" s="41">
        <v>391092.91</v>
      </c>
      <c r="S96" s="41"/>
      <c r="T96" s="41"/>
      <c r="U96" s="41">
        <v>371271.13</v>
      </c>
      <c r="V96" s="41">
        <v>1069391.97</v>
      </c>
      <c r="W96" s="41">
        <v>82029.56</v>
      </c>
      <c r="X96" s="41">
        <v>180889.01</v>
      </c>
      <c r="Y96" s="41">
        <v>0</v>
      </c>
    </row>
    <row r="97" spans="1:25" ht="12.75">
      <c r="A97" s="53">
        <f t="shared" si="7"/>
        <v>81</v>
      </c>
      <c r="B97" s="41" t="s">
        <v>384</v>
      </c>
      <c r="C97" s="41">
        <f>SUM(O97:S97)</f>
        <v>0.02</v>
      </c>
      <c r="D97" s="41">
        <f>SUM(U97:Y97)</f>
        <v>0.02</v>
      </c>
      <c r="E97" s="41"/>
      <c r="F97" s="41"/>
      <c r="G97" s="41">
        <f>ROUND(SUM(C97:F97)/2,0)</f>
        <v>0</v>
      </c>
      <c r="H97" s="41"/>
      <c r="I97" s="41">
        <f>(+O97+U97)/2</f>
        <v>0</v>
      </c>
      <c r="J97" s="41">
        <f>(+P97+V97)/2</f>
        <v>0</v>
      </c>
      <c r="K97" s="41">
        <f>(+Q97+W97)/2</f>
        <v>0</v>
      </c>
      <c r="L97" s="41">
        <f>(+R97+X97)/2</f>
        <v>0.02</v>
      </c>
      <c r="M97" s="41">
        <f t="shared" si="8"/>
        <v>0</v>
      </c>
      <c r="N97" s="41"/>
      <c r="O97" s="41">
        <v>0</v>
      </c>
      <c r="P97" s="41">
        <v>0</v>
      </c>
      <c r="Q97" s="41">
        <v>0</v>
      </c>
      <c r="R97" s="41">
        <v>0.02</v>
      </c>
      <c r="S97" s="41"/>
      <c r="T97" s="41"/>
      <c r="U97" s="41">
        <v>0</v>
      </c>
      <c r="V97" s="41">
        <v>0</v>
      </c>
      <c r="W97" s="41">
        <v>0</v>
      </c>
      <c r="X97" s="41">
        <v>0.02</v>
      </c>
      <c r="Y97" s="41">
        <v>0</v>
      </c>
    </row>
    <row r="98" spans="1:25" ht="12.75">
      <c r="A98" s="53">
        <f t="shared" si="7"/>
        <v>82</v>
      </c>
      <c r="B98" s="41" t="s">
        <v>205</v>
      </c>
      <c r="C98" s="41">
        <f t="shared" si="4"/>
        <v>417309650.21000004</v>
      </c>
      <c r="D98" s="41">
        <f t="shared" si="0"/>
        <v>439314434.44</v>
      </c>
      <c r="E98" s="41"/>
      <c r="F98" s="41"/>
      <c r="G98" s="41">
        <f t="shared" si="6"/>
        <v>428312042</v>
      </c>
      <c r="H98" s="41"/>
      <c r="I98" s="41">
        <f t="shared" si="8"/>
        <v>11081991.05</v>
      </c>
      <c r="J98" s="41">
        <f t="shared" si="8"/>
        <v>417019121.645</v>
      </c>
      <c r="K98" s="41">
        <f t="shared" si="8"/>
        <v>0.35</v>
      </c>
      <c r="L98" s="41">
        <f t="shared" si="8"/>
        <v>210929.28000000003</v>
      </c>
      <c r="M98" s="41">
        <f t="shared" si="8"/>
        <v>0</v>
      </c>
      <c r="N98" s="41"/>
      <c r="O98" s="41">
        <v>9736521.32</v>
      </c>
      <c r="P98" s="41">
        <v>407364214.37</v>
      </c>
      <c r="Q98" s="41">
        <v>0.35</v>
      </c>
      <c r="R98" s="41">
        <v>208914.17</v>
      </c>
      <c r="S98" s="41"/>
      <c r="T98" s="41"/>
      <c r="U98" s="41">
        <v>12427460.78</v>
      </c>
      <c r="V98" s="41">
        <v>426674028.92</v>
      </c>
      <c r="W98" s="41">
        <v>0.35</v>
      </c>
      <c r="X98" s="41">
        <v>212944.39</v>
      </c>
      <c r="Y98" s="41">
        <v>0</v>
      </c>
    </row>
    <row r="99" spans="1:25" ht="12.75">
      <c r="A99" s="53">
        <f t="shared" si="7"/>
        <v>83</v>
      </c>
      <c r="B99" s="41" t="s">
        <v>673</v>
      </c>
      <c r="C99" s="41">
        <f>SUM(O99:S99)</f>
        <v>0</v>
      </c>
      <c r="D99" s="41">
        <f>SUM(U99:Y99)</f>
        <v>83763.76</v>
      </c>
      <c r="E99" s="41"/>
      <c r="F99" s="41"/>
      <c r="G99" s="41">
        <f>ROUND(SUM(C99:F99)/2,0)</f>
        <v>41882</v>
      </c>
      <c r="H99" s="41"/>
      <c r="I99" s="41">
        <f>(+O99+U99)/2</f>
        <v>41881.88</v>
      </c>
      <c r="J99" s="41">
        <f>(+P99+V99)/2</f>
        <v>0</v>
      </c>
      <c r="K99" s="41">
        <f>(+Q99+W99)/2</f>
        <v>0</v>
      </c>
      <c r="L99" s="41">
        <f>(+R99+X99)/2</f>
        <v>0</v>
      </c>
      <c r="M99" s="41">
        <f>(+S99+Y99)/2</f>
        <v>0</v>
      </c>
      <c r="N99" s="41"/>
      <c r="O99" s="41">
        <v>0</v>
      </c>
      <c r="P99" s="41">
        <v>0</v>
      </c>
      <c r="Q99" s="41">
        <v>0</v>
      </c>
      <c r="R99" s="41">
        <v>0</v>
      </c>
      <c r="S99" s="41"/>
      <c r="T99" s="41"/>
      <c r="U99" s="41">
        <v>83763.76</v>
      </c>
      <c r="V99" s="41">
        <v>0</v>
      </c>
      <c r="W99" s="41">
        <v>0</v>
      </c>
      <c r="X99" s="41">
        <v>0</v>
      </c>
      <c r="Y99" s="41">
        <v>0</v>
      </c>
    </row>
    <row r="100" spans="1:25" ht="12.75">
      <c r="A100" s="53">
        <f t="shared" si="7"/>
        <v>84</v>
      </c>
      <c r="B100" s="41" t="s">
        <v>385</v>
      </c>
      <c r="C100" s="41">
        <f aca="true" t="shared" si="9" ref="C100:C114">SUM(O100:S100)</f>
        <v>3969840</v>
      </c>
      <c r="D100" s="41">
        <f aca="true" t="shared" si="10" ref="D100:D114">SUM(U100:Y100)</f>
        <v>3572856</v>
      </c>
      <c r="E100" s="41"/>
      <c r="F100" s="41"/>
      <c r="G100" s="41">
        <f t="shared" si="6"/>
        <v>3771348</v>
      </c>
      <c r="H100" s="41"/>
      <c r="I100" s="41">
        <f t="shared" si="8"/>
        <v>3771348</v>
      </c>
      <c r="J100" s="41">
        <f t="shared" si="8"/>
        <v>0</v>
      </c>
      <c r="K100" s="41">
        <f t="shared" si="8"/>
        <v>0</v>
      </c>
      <c r="L100" s="41">
        <f t="shared" si="8"/>
        <v>0</v>
      </c>
      <c r="M100" s="41">
        <f t="shared" si="8"/>
        <v>0</v>
      </c>
      <c r="N100" s="41"/>
      <c r="O100" s="41">
        <v>3969840</v>
      </c>
      <c r="P100" s="41">
        <v>0</v>
      </c>
      <c r="Q100" s="41">
        <v>0</v>
      </c>
      <c r="R100" s="41">
        <v>0</v>
      </c>
      <c r="S100" s="41"/>
      <c r="T100" s="41"/>
      <c r="U100" s="41">
        <v>3572856</v>
      </c>
      <c r="V100" s="41">
        <v>0</v>
      </c>
      <c r="W100" s="41">
        <v>0</v>
      </c>
      <c r="X100" s="41">
        <v>0</v>
      </c>
      <c r="Y100" s="41">
        <v>0</v>
      </c>
    </row>
    <row r="101" spans="1:25" ht="12.75">
      <c r="A101" s="53">
        <f t="shared" si="7"/>
        <v>85</v>
      </c>
      <c r="B101" s="41" t="s">
        <v>210</v>
      </c>
      <c r="C101" s="41">
        <f>SUM(O101:S101)</f>
        <v>-201014.75</v>
      </c>
      <c r="D101" s="41">
        <f>SUM(U101:Y101)</f>
        <v>-201014.75</v>
      </c>
      <c r="E101" s="41"/>
      <c r="F101" s="41"/>
      <c r="G101" s="41">
        <f>ROUND(SUM(C101:F101)/2,0)</f>
        <v>-201015</v>
      </c>
      <c r="H101" s="41"/>
      <c r="I101" s="41">
        <f t="shared" si="8"/>
        <v>-201014.75</v>
      </c>
      <c r="J101" s="41">
        <f t="shared" si="8"/>
        <v>0</v>
      </c>
      <c r="K101" s="41">
        <f t="shared" si="8"/>
        <v>0</v>
      </c>
      <c r="L101" s="41">
        <f t="shared" si="8"/>
        <v>0</v>
      </c>
      <c r="M101" s="41">
        <f t="shared" si="8"/>
        <v>0</v>
      </c>
      <c r="N101" s="41"/>
      <c r="O101" s="41">
        <f>-376080.75+175066</f>
        <v>-201014.75</v>
      </c>
      <c r="P101" s="41">
        <v>0</v>
      </c>
      <c r="Q101" s="41">
        <v>0</v>
      </c>
      <c r="R101" s="41">
        <v>0</v>
      </c>
      <c r="S101" s="41"/>
      <c r="T101" s="41"/>
      <c r="U101" s="41">
        <f>-376080.75+175066</f>
        <v>-201014.75</v>
      </c>
      <c r="V101" s="41">
        <f>164718-164718</f>
        <v>0</v>
      </c>
      <c r="W101" s="41">
        <f>-175416+175416</f>
        <v>0</v>
      </c>
      <c r="X101" s="41">
        <f>-175066+175066</f>
        <v>0</v>
      </c>
      <c r="Y101" s="41">
        <v>0</v>
      </c>
    </row>
    <row r="102" spans="1:25" ht="12.75">
      <c r="A102" s="53">
        <f t="shared" si="7"/>
        <v>86</v>
      </c>
      <c r="B102" s="41" t="s">
        <v>211</v>
      </c>
      <c r="C102" s="41">
        <f>SUM(O102:S102)</f>
        <v>0</v>
      </c>
      <c r="D102" s="41">
        <f>SUM(U102:Y102)</f>
        <v>0</v>
      </c>
      <c r="E102" s="41"/>
      <c r="F102" s="41"/>
      <c r="G102" s="41">
        <f>ROUND(SUM(C102:F102)/2,0)</f>
        <v>0</v>
      </c>
      <c r="H102" s="41"/>
      <c r="I102" s="41">
        <f t="shared" si="8"/>
        <v>0</v>
      </c>
      <c r="J102" s="41">
        <f t="shared" si="8"/>
        <v>0</v>
      </c>
      <c r="K102" s="41">
        <f t="shared" si="8"/>
        <v>0</v>
      </c>
      <c r="L102" s="41">
        <f t="shared" si="8"/>
        <v>0</v>
      </c>
      <c r="M102" s="41">
        <f t="shared" si="8"/>
        <v>0</v>
      </c>
      <c r="N102" s="41"/>
      <c r="O102" s="41">
        <v>0</v>
      </c>
      <c r="P102" s="41">
        <v>0</v>
      </c>
      <c r="Q102" s="41">
        <v>0</v>
      </c>
      <c r="R102" s="41">
        <v>0</v>
      </c>
      <c r="S102" s="41"/>
      <c r="T102" s="41"/>
      <c r="U102" s="41">
        <f>-195300+195300</f>
        <v>0</v>
      </c>
      <c r="V102" s="41">
        <v>0</v>
      </c>
      <c r="W102" s="41">
        <f>-195650+195650</f>
        <v>0</v>
      </c>
      <c r="X102" s="41">
        <f>-195650+195650</f>
        <v>0</v>
      </c>
      <c r="Y102" s="41">
        <v>0</v>
      </c>
    </row>
    <row r="103" spans="1:25" ht="12.75">
      <c r="A103" s="53">
        <f t="shared" si="7"/>
        <v>87</v>
      </c>
      <c r="B103" s="41" t="s">
        <v>386</v>
      </c>
      <c r="C103" s="41">
        <f>SUM(O103:S103)</f>
        <v>1650832.67</v>
      </c>
      <c r="D103" s="41">
        <f>SUM(U103:Y103)</f>
        <v>367049.16000000003</v>
      </c>
      <c r="E103" s="41"/>
      <c r="F103" s="41"/>
      <c r="G103" s="41">
        <f>ROUND(SUM(C103:F103)/2,0)</f>
        <v>1008941</v>
      </c>
      <c r="H103" s="41"/>
      <c r="I103" s="41">
        <f t="shared" si="8"/>
        <v>6588.095000000001</v>
      </c>
      <c r="J103" s="41">
        <f t="shared" si="8"/>
        <v>654668.315</v>
      </c>
      <c r="K103" s="41">
        <f t="shared" si="8"/>
        <v>-63.81000000000495</v>
      </c>
      <c r="L103" s="41">
        <f t="shared" si="8"/>
        <v>347748.315</v>
      </c>
      <c r="M103" s="41">
        <f t="shared" si="8"/>
        <v>0</v>
      </c>
      <c r="N103" s="41"/>
      <c r="O103" s="41">
        <f>-74166+92607</f>
        <v>18441</v>
      </c>
      <c r="P103" s="41">
        <f>1101274.19+184865</f>
        <v>1286139.19</v>
      </c>
      <c r="Q103" s="41">
        <f>-92610.96+92607</f>
        <v>-3.960000000006403</v>
      </c>
      <c r="R103" s="41">
        <f>190008.44+156248</f>
        <v>346256.44</v>
      </c>
      <c r="S103" s="41"/>
      <c r="T103" s="41"/>
      <c r="U103" s="41">
        <f>-97871.81+92607</f>
        <v>-5264.809999999998</v>
      </c>
      <c r="V103" s="41">
        <f>-161667.56+184865</f>
        <v>23197.440000000002</v>
      </c>
      <c r="W103" s="41">
        <f>-92730.66+92607</f>
        <v>-123.66000000000349</v>
      </c>
      <c r="X103" s="41">
        <f>192992.19+156248</f>
        <v>349240.19</v>
      </c>
      <c r="Y103" s="41">
        <v>0</v>
      </c>
    </row>
    <row r="104" spans="1:25" ht="12.75">
      <c r="A104" s="53">
        <f t="shared" si="7"/>
        <v>88</v>
      </c>
      <c r="B104" s="41" t="s">
        <v>387</v>
      </c>
      <c r="C104" s="41">
        <f>SUM(O104:S104)</f>
        <v>298632.6</v>
      </c>
      <c r="D104" s="41">
        <f>SUM(U104:Y104)</f>
        <v>985205.55</v>
      </c>
      <c r="E104" s="41"/>
      <c r="F104" s="41"/>
      <c r="G104" s="41">
        <f>ROUND(SUM(C104:F104)/2,0)</f>
        <v>641919</v>
      </c>
      <c r="H104" s="41"/>
      <c r="I104" s="41">
        <f>(+O104+U104)/2</f>
        <v>-189313.95</v>
      </c>
      <c r="J104" s="41">
        <f>(+P104+V104)/2</f>
        <v>448714.175</v>
      </c>
      <c r="K104" s="41">
        <f>(+Q104+W104)/2</f>
        <v>907.9000000000001</v>
      </c>
      <c r="L104" s="41">
        <f>(+R104+X104)/2</f>
        <v>381610.95</v>
      </c>
      <c r="M104" s="41">
        <f>(+S104+Y104)/2</f>
        <v>0</v>
      </c>
      <c r="N104" s="41"/>
      <c r="O104" s="41">
        <v>-185708.95</v>
      </c>
      <c r="P104" s="41">
        <v>100236.15</v>
      </c>
      <c r="Q104" s="41">
        <v>851.2</v>
      </c>
      <c r="R104" s="41">
        <v>383254.2</v>
      </c>
      <c r="S104" s="41"/>
      <c r="T104" s="41"/>
      <c r="U104" s="41">
        <v>-192918.95</v>
      </c>
      <c r="V104" s="41">
        <v>797192.2</v>
      </c>
      <c r="W104" s="41">
        <v>964.6</v>
      </c>
      <c r="X104" s="41">
        <v>379967.7</v>
      </c>
      <c r="Y104" s="41">
        <v>0</v>
      </c>
    </row>
    <row r="105" spans="1:25" ht="12.75">
      <c r="A105" s="53">
        <f t="shared" si="7"/>
        <v>89</v>
      </c>
      <c r="B105" s="41" t="s">
        <v>388</v>
      </c>
      <c r="C105" s="41">
        <f t="shared" si="9"/>
        <v>20468533.85</v>
      </c>
      <c r="D105" s="41">
        <f t="shared" si="10"/>
        <v>14171719.2</v>
      </c>
      <c r="E105" s="41"/>
      <c r="F105" s="41"/>
      <c r="G105" s="41">
        <f t="shared" si="6"/>
        <v>17320127</v>
      </c>
      <c r="H105" s="41"/>
      <c r="I105" s="41">
        <f t="shared" si="8"/>
        <v>4725000</v>
      </c>
      <c r="J105" s="41">
        <f t="shared" si="8"/>
        <v>12595126.524999999</v>
      </c>
      <c r="K105" s="41">
        <f t="shared" si="8"/>
        <v>0</v>
      </c>
      <c r="L105" s="41">
        <f t="shared" si="8"/>
        <v>0</v>
      </c>
      <c r="M105" s="41">
        <f>(+S105+Y105)/2</f>
        <v>0</v>
      </c>
      <c r="N105" s="41"/>
      <c r="O105" s="41">
        <v>4725000</v>
      </c>
      <c r="P105" s="41">
        <v>15743533.85</v>
      </c>
      <c r="Q105" s="41">
        <v>0</v>
      </c>
      <c r="R105" s="41">
        <v>0</v>
      </c>
      <c r="S105" s="41"/>
      <c r="T105" s="41"/>
      <c r="U105" s="41">
        <v>4725000</v>
      </c>
      <c r="V105" s="41">
        <v>9446719.2</v>
      </c>
      <c r="W105" s="41">
        <v>0</v>
      </c>
      <c r="X105" s="41">
        <v>0</v>
      </c>
      <c r="Y105" s="41">
        <v>0</v>
      </c>
    </row>
    <row r="106" spans="1:25" ht="12.75">
      <c r="A106" s="53">
        <f t="shared" si="7"/>
        <v>90</v>
      </c>
      <c r="B106" s="41" t="s">
        <v>389</v>
      </c>
      <c r="C106" s="41">
        <f t="shared" si="9"/>
        <v>0.35</v>
      </c>
      <c r="D106" s="41">
        <f t="shared" si="10"/>
        <v>0.35</v>
      </c>
      <c r="E106" s="41"/>
      <c r="F106" s="41"/>
      <c r="G106" s="41">
        <f t="shared" si="6"/>
        <v>0</v>
      </c>
      <c r="H106" s="41"/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0.35</v>
      </c>
      <c r="M106" s="41">
        <f>(+S106+Y106)/2</f>
        <v>0</v>
      </c>
      <c r="N106" s="41"/>
      <c r="O106" s="41">
        <v>0</v>
      </c>
      <c r="P106" s="41">
        <v>0</v>
      </c>
      <c r="Q106" s="41">
        <v>0</v>
      </c>
      <c r="R106" s="41">
        <v>0.35</v>
      </c>
      <c r="S106" s="41"/>
      <c r="T106" s="41"/>
      <c r="U106" s="41">
        <v>0</v>
      </c>
      <c r="V106" s="41">
        <v>0</v>
      </c>
      <c r="W106" s="41">
        <v>0</v>
      </c>
      <c r="X106" s="41">
        <v>0.35</v>
      </c>
      <c r="Y106" s="41">
        <v>0</v>
      </c>
    </row>
    <row r="107" spans="1:25" ht="12.75">
      <c r="A107" s="53">
        <f t="shared" si="7"/>
        <v>91</v>
      </c>
      <c r="B107" s="41" t="s">
        <v>390</v>
      </c>
      <c r="C107" s="41">
        <f t="shared" si="9"/>
        <v>0.05</v>
      </c>
      <c r="D107" s="41">
        <f t="shared" si="10"/>
        <v>0.05</v>
      </c>
      <c r="E107" s="41"/>
      <c r="F107" s="41"/>
      <c r="G107" s="41">
        <f t="shared" si="6"/>
        <v>0</v>
      </c>
      <c r="H107" s="41"/>
      <c r="I107" s="41">
        <f t="shared" si="8"/>
        <v>0</v>
      </c>
      <c r="J107" s="41">
        <f t="shared" si="8"/>
        <v>0</v>
      </c>
      <c r="K107" s="41">
        <f t="shared" si="8"/>
        <v>0</v>
      </c>
      <c r="L107" s="41">
        <f t="shared" si="8"/>
        <v>0.05</v>
      </c>
      <c r="M107" s="41">
        <f>(+S107+Y107)/2</f>
        <v>0</v>
      </c>
      <c r="N107" s="41"/>
      <c r="O107" s="41">
        <v>0</v>
      </c>
      <c r="P107" s="41">
        <v>0</v>
      </c>
      <c r="Q107" s="41">
        <v>0</v>
      </c>
      <c r="R107" s="41">
        <v>0.05</v>
      </c>
      <c r="S107" s="41"/>
      <c r="T107" s="41"/>
      <c r="U107" s="41">
        <v>0</v>
      </c>
      <c r="V107" s="41">
        <v>0</v>
      </c>
      <c r="W107" s="41">
        <v>0</v>
      </c>
      <c r="X107" s="41">
        <v>0.05</v>
      </c>
      <c r="Y107" s="41">
        <v>0</v>
      </c>
    </row>
    <row r="108" spans="1:25" ht="12.75">
      <c r="A108" s="53">
        <f t="shared" si="7"/>
        <v>92</v>
      </c>
      <c r="B108" s="41" t="s">
        <v>215</v>
      </c>
      <c r="C108" s="41">
        <f t="shared" si="9"/>
        <v>0.05</v>
      </c>
      <c r="D108" s="41">
        <f t="shared" si="10"/>
        <v>0.05</v>
      </c>
      <c r="E108" s="41"/>
      <c r="F108" s="41"/>
      <c r="G108" s="41">
        <f t="shared" si="6"/>
        <v>0</v>
      </c>
      <c r="H108" s="41"/>
      <c r="I108" s="41">
        <f t="shared" si="8"/>
        <v>0</v>
      </c>
      <c r="J108" s="41">
        <f t="shared" si="8"/>
        <v>0</v>
      </c>
      <c r="K108" s="41">
        <f t="shared" si="8"/>
        <v>0</v>
      </c>
      <c r="L108" s="41">
        <f t="shared" si="8"/>
        <v>0.05</v>
      </c>
      <c r="M108" s="41">
        <f t="shared" si="8"/>
        <v>0</v>
      </c>
      <c r="N108" s="41"/>
      <c r="O108" s="41">
        <v>0</v>
      </c>
      <c r="P108" s="41">
        <v>0</v>
      </c>
      <c r="Q108" s="41">
        <v>0</v>
      </c>
      <c r="R108" s="41">
        <v>0.05</v>
      </c>
      <c r="S108" s="41"/>
      <c r="T108" s="41"/>
      <c r="U108" s="41">
        <v>0</v>
      </c>
      <c r="V108" s="41">
        <v>0</v>
      </c>
      <c r="W108" s="41">
        <v>0</v>
      </c>
      <c r="X108" s="41">
        <v>0.05</v>
      </c>
      <c r="Y108" s="41">
        <v>0</v>
      </c>
    </row>
    <row r="109" spans="1:25" ht="12.75">
      <c r="A109" s="53">
        <f t="shared" si="7"/>
        <v>93</v>
      </c>
      <c r="B109" s="41" t="s">
        <v>391</v>
      </c>
      <c r="C109" s="41">
        <f t="shared" si="9"/>
        <v>0.4</v>
      </c>
      <c r="D109" s="41">
        <f t="shared" si="10"/>
        <v>0.4</v>
      </c>
      <c r="E109" s="41"/>
      <c r="F109" s="41"/>
      <c r="G109" s="41">
        <f t="shared" si="6"/>
        <v>0</v>
      </c>
      <c r="H109" s="41"/>
      <c r="I109" s="41">
        <f t="shared" si="8"/>
        <v>0</v>
      </c>
      <c r="J109" s="41">
        <f t="shared" si="8"/>
        <v>0</v>
      </c>
      <c r="K109" s="41">
        <f t="shared" si="8"/>
        <v>0</v>
      </c>
      <c r="L109" s="41">
        <f t="shared" si="8"/>
        <v>0.4</v>
      </c>
      <c r="M109" s="41">
        <f t="shared" si="8"/>
        <v>0</v>
      </c>
      <c r="N109" s="41"/>
      <c r="O109" s="41">
        <v>0</v>
      </c>
      <c r="P109" s="41">
        <v>0</v>
      </c>
      <c r="Q109" s="41">
        <v>0</v>
      </c>
      <c r="R109" s="41">
        <v>0.4</v>
      </c>
      <c r="S109" s="41"/>
      <c r="T109" s="41"/>
      <c r="U109" s="41">
        <v>0</v>
      </c>
      <c r="V109" s="41">
        <v>0</v>
      </c>
      <c r="W109" s="41">
        <v>0</v>
      </c>
      <c r="X109" s="41">
        <v>0.4</v>
      </c>
      <c r="Y109" s="41">
        <v>0</v>
      </c>
    </row>
    <row r="110" spans="1:25" ht="12.75">
      <c r="A110" s="53">
        <f t="shared" si="7"/>
        <v>94</v>
      </c>
      <c r="B110" s="41" t="s">
        <v>216</v>
      </c>
      <c r="C110" s="41">
        <f>SUM(O110:S110)</f>
        <v>-407875.23</v>
      </c>
      <c r="D110" s="41">
        <f>SUM(U110:Y110)</f>
        <v>-407875.23</v>
      </c>
      <c r="E110" s="41"/>
      <c r="F110" s="41"/>
      <c r="G110" s="41">
        <f>ROUND(SUM(C110:F110)/2,0)</f>
        <v>-407875</v>
      </c>
      <c r="H110" s="41"/>
      <c r="I110" s="41">
        <f>(+O110+U110)/2</f>
        <v>0</v>
      </c>
      <c r="J110" s="41">
        <f>(+P110+V110)/2</f>
        <v>0</v>
      </c>
      <c r="K110" s="41">
        <f>(+Q110+W110)/2</f>
        <v>0</v>
      </c>
      <c r="L110" s="41">
        <f>(+R110+X110)/2</f>
        <v>-407875.23</v>
      </c>
      <c r="M110" s="41">
        <f>(+S110+Y110)/2</f>
        <v>0</v>
      </c>
      <c r="N110" s="41"/>
      <c r="O110" s="41">
        <v>0</v>
      </c>
      <c r="P110" s="41">
        <v>0</v>
      </c>
      <c r="Q110" s="41">
        <v>0</v>
      </c>
      <c r="R110" s="41">
        <v>-407875.23</v>
      </c>
      <c r="S110" s="41"/>
      <c r="T110" s="41"/>
      <c r="U110" s="41">
        <v>0</v>
      </c>
      <c r="V110" s="41">
        <v>0</v>
      </c>
      <c r="W110" s="41">
        <v>0</v>
      </c>
      <c r="X110" s="41">
        <v>-407875.23</v>
      </c>
      <c r="Y110" s="41">
        <v>0</v>
      </c>
    </row>
    <row r="111" spans="1:25" ht="12.75">
      <c r="A111" s="53">
        <f t="shared" si="7"/>
        <v>95</v>
      </c>
      <c r="B111" s="41" t="s">
        <v>392</v>
      </c>
      <c r="C111" s="41">
        <f t="shared" si="9"/>
        <v>0.05</v>
      </c>
      <c r="D111" s="41">
        <f t="shared" si="10"/>
        <v>0.05</v>
      </c>
      <c r="E111" s="41"/>
      <c r="F111" s="41"/>
      <c r="G111" s="41">
        <f t="shared" si="6"/>
        <v>0</v>
      </c>
      <c r="H111" s="41"/>
      <c r="I111" s="41">
        <f t="shared" si="8"/>
        <v>0</v>
      </c>
      <c r="J111" s="41">
        <f t="shared" si="8"/>
        <v>0</v>
      </c>
      <c r="K111" s="41">
        <f t="shared" si="8"/>
        <v>0</v>
      </c>
      <c r="L111" s="41">
        <f t="shared" si="8"/>
        <v>0.05</v>
      </c>
      <c r="M111" s="41">
        <f t="shared" si="8"/>
        <v>0</v>
      </c>
      <c r="N111" s="41"/>
      <c r="O111" s="41">
        <v>0</v>
      </c>
      <c r="P111" s="41">
        <v>0</v>
      </c>
      <c r="Q111" s="41">
        <v>0</v>
      </c>
      <c r="R111" s="41">
        <v>0.05</v>
      </c>
      <c r="S111" s="41"/>
      <c r="T111" s="41"/>
      <c r="U111" s="41">
        <v>0</v>
      </c>
      <c r="V111" s="41">
        <v>0</v>
      </c>
      <c r="W111" s="41">
        <v>0</v>
      </c>
      <c r="X111" s="41">
        <v>0.05</v>
      </c>
      <c r="Y111" s="41">
        <v>0</v>
      </c>
    </row>
    <row r="112" spans="1:25" ht="12.75">
      <c r="A112" s="53">
        <f t="shared" si="7"/>
        <v>96</v>
      </c>
      <c r="B112" s="41" t="s">
        <v>393</v>
      </c>
      <c r="C112" s="41">
        <f>SUM(O112:S112)</f>
        <v>4185333.25</v>
      </c>
      <c r="D112" s="41">
        <f>SUM(U112:Y112)</f>
        <v>3804036.25</v>
      </c>
      <c r="E112" s="41"/>
      <c r="F112" s="41"/>
      <c r="G112" s="41">
        <f>ROUND(SUM(C112:F112)/2,0)</f>
        <v>3994685</v>
      </c>
      <c r="H112" s="41"/>
      <c r="I112" s="41">
        <f t="shared" si="8"/>
        <v>0</v>
      </c>
      <c r="J112" s="41">
        <f t="shared" si="8"/>
        <v>0</v>
      </c>
      <c r="K112" s="41">
        <f t="shared" si="8"/>
        <v>0</v>
      </c>
      <c r="L112" s="41">
        <f t="shared" si="8"/>
        <v>3994684.75</v>
      </c>
      <c r="M112" s="41">
        <f t="shared" si="8"/>
        <v>0</v>
      </c>
      <c r="N112" s="41"/>
      <c r="O112" s="41">
        <v>0</v>
      </c>
      <c r="P112" s="41">
        <v>0</v>
      </c>
      <c r="Q112" s="41">
        <v>0</v>
      </c>
      <c r="R112" s="41">
        <v>4185333.25</v>
      </c>
      <c r="S112" s="41"/>
      <c r="T112" s="41"/>
      <c r="U112" s="41">
        <v>0</v>
      </c>
      <c r="V112" s="41">
        <v>0</v>
      </c>
      <c r="W112" s="41">
        <v>0</v>
      </c>
      <c r="X112" s="41">
        <v>3804036.25</v>
      </c>
      <c r="Y112" s="41">
        <v>0</v>
      </c>
    </row>
    <row r="113" spans="1:25" ht="12.75">
      <c r="A113" s="53">
        <f t="shared" si="7"/>
        <v>97</v>
      </c>
      <c r="B113" s="41" t="s">
        <v>219</v>
      </c>
      <c r="C113" s="41">
        <f>SUM(O113:S113)</f>
        <v>-7992633.45</v>
      </c>
      <c r="D113" s="41">
        <f>SUM(U113:Y113)</f>
        <v>-9551412.200000001</v>
      </c>
      <c r="E113" s="41"/>
      <c r="F113" s="41"/>
      <c r="G113" s="41">
        <f>ROUND(SUM(C113:F113)/2,0)</f>
        <v>-8772023</v>
      </c>
      <c r="H113" s="41"/>
      <c r="I113" s="41">
        <f t="shared" si="8"/>
        <v>-959894.775</v>
      </c>
      <c r="J113" s="41">
        <f t="shared" si="8"/>
        <v>-7549044.47</v>
      </c>
      <c r="K113" s="41">
        <f t="shared" si="8"/>
        <v>-98933.065</v>
      </c>
      <c r="L113" s="41">
        <f t="shared" si="8"/>
        <v>-164150.515</v>
      </c>
      <c r="M113" s="41">
        <f t="shared" si="8"/>
        <v>0</v>
      </c>
      <c r="N113" s="41"/>
      <c r="O113" s="41">
        <v>-591847.2</v>
      </c>
      <c r="P113" s="41">
        <v>-7104456.8</v>
      </c>
      <c r="Q113" s="41">
        <v>-96356.63</v>
      </c>
      <c r="R113" s="41">
        <v>-199972.82</v>
      </c>
      <c r="S113" s="41"/>
      <c r="T113" s="41"/>
      <c r="U113" s="41">
        <v>-1327942.35</v>
      </c>
      <c r="V113" s="41">
        <v>-7993632.14</v>
      </c>
      <c r="W113" s="41">
        <v>-101509.5</v>
      </c>
      <c r="X113" s="41">
        <v>-128328.21</v>
      </c>
      <c r="Y113" s="41">
        <v>0</v>
      </c>
    </row>
    <row r="114" spans="1:25" ht="12.75">
      <c r="A114" s="53">
        <f t="shared" si="7"/>
        <v>98</v>
      </c>
      <c r="B114" s="41" t="s">
        <v>394</v>
      </c>
      <c r="C114" s="41">
        <f t="shared" si="9"/>
        <v>-0.1</v>
      </c>
      <c r="D114" s="41">
        <f t="shared" si="10"/>
        <v>-0.1</v>
      </c>
      <c r="E114" s="41"/>
      <c r="F114" s="41"/>
      <c r="G114" s="41">
        <f t="shared" si="6"/>
        <v>0</v>
      </c>
      <c r="H114" s="41"/>
      <c r="I114" s="41">
        <f t="shared" si="8"/>
        <v>0</v>
      </c>
      <c r="J114" s="41">
        <f t="shared" si="8"/>
        <v>0</v>
      </c>
      <c r="K114" s="41">
        <f t="shared" si="8"/>
        <v>0</v>
      </c>
      <c r="L114" s="41">
        <f t="shared" si="8"/>
        <v>-0.1</v>
      </c>
      <c r="M114" s="41">
        <f t="shared" si="8"/>
        <v>0</v>
      </c>
      <c r="N114" s="41"/>
      <c r="O114" s="41">
        <v>0</v>
      </c>
      <c r="P114" s="41"/>
      <c r="Q114" s="41">
        <v>0</v>
      </c>
      <c r="R114" s="41">
        <v>-0.1</v>
      </c>
      <c r="S114" s="41"/>
      <c r="T114" s="41"/>
      <c r="U114" s="41">
        <v>0</v>
      </c>
      <c r="V114" s="41">
        <v>0</v>
      </c>
      <c r="W114" s="41">
        <v>0</v>
      </c>
      <c r="X114" s="41">
        <v>-0.1</v>
      </c>
      <c r="Y114" s="41">
        <v>0</v>
      </c>
    </row>
    <row r="115" spans="1:25" ht="12.75">
      <c r="A115" s="53">
        <f t="shared" si="7"/>
        <v>99</v>
      </c>
      <c r="B115" s="41" t="s">
        <v>395</v>
      </c>
      <c r="C115" s="41">
        <f>SUM(O115:S115)</f>
        <v>0</v>
      </c>
      <c r="D115" s="41">
        <f>SUM(U115:Y115)</f>
        <v>0</v>
      </c>
      <c r="E115" s="41"/>
      <c r="F115" s="41"/>
      <c r="G115" s="41">
        <f>ROUND(SUM(C115:F115)/2,0)</f>
        <v>0</v>
      </c>
      <c r="H115" s="41"/>
      <c r="I115" s="41">
        <f t="shared" si="8"/>
        <v>0</v>
      </c>
      <c r="J115" s="41">
        <f t="shared" si="8"/>
        <v>0</v>
      </c>
      <c r="K115" s="41">
        <f t="shared" si="8"/>
        <v>0</v>
      </c>
      <c r="L115" s="41">
        <f t="shared" si="8"/>
        <v>0</v>
      </c>
      <c r="M115" s="41">
        <f t="shared" si="8"/>
        <v>0</v>
      </c>
      <c r="N115" s="41"/>
      <c r="O115" s="41">
        <v>0</v>
      </c>
      <c r="P115" s="41"/>
      <c r="Q115" s="41">
        <v>0</v>
      </c>
      <c r="R115" s="41">
        <v>0</v>
      </c>
      <c r="S115" s="41"/>
      <c r="T115" s="41"/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1:25" ht="12.75">
      <c r="A116" s="53">
        <f t="shared" si="7"/>
        <v>100</v>
      </c>
      <c r="B116" s="41" t="s">
        <v>396</v>
      </c>
      <c r="C116" s="41">
        <f>SUM(O116:S116)</f>
        <v>-1042842.15</v>
      </c>
      <c r="D116" s="41">
        <f>SUM(U116:Y116)</f>
        <v>-610958.95</v>
      </c>
      <c r="E116" s="41"/>
      <c r="F116" s="41"/>
      <c r="G116" s="41">
        <f>ROUND(SUM(C116:F116)/2,0)</f>
        <v>-826901</v>
      </c>
      <c r="H116" s="41"/>
      <c r="I116" s="41">
        <f t="shared" si="8"/>
        <v>-30087.925</v>
      </c>
      <c r="J116" s="41">
        <f t="shared" si="8"/>
        <v>-771002.925</v>
      </c>
      <c r="K116" s="41">
        <f t="shared" si="8"/>
        <v>-685.65</v>
      </c>
      <c r="L116" s="41">
        <f t="shared" si="8"/>
        <v>-25124.050000000003</v>
      </c>
      <c r="M116" s="41">
        <f t="shared" si="8"/>
        <v>0</v>
      </c>
      <c r="N116" s="41"/>
      <c r="O116" s="41">
        <v>-42071.75</v>
      </c>
      <c r="P116" s="41">
        <v>-976035.9</v>
      </c>
      <c r="Q116" s="41">
        <v>-655.55</v>
      </c>
      <c r="R116" s="41">
        <v>-24078.95</v>
      </c>
      <c r="S116" s="41"/>
      <c r="T116" s="41"/>
      <c r="U116" s="41">
        <v>-18104.1</v>
      </c>
      <c r="V116" s="41">
        <v>-565969.95</v>
      </c>
      <c r="W116" s="41">
        <v>-715.75</v>
      </c>
      <c r="X116" s="41">
        <v>-26169.15</v>
      </c>
      <c r="Y116" s="41">
        <v>0</v>
      </c>
    </row>
    <row r="117" spans="1:25" ht="12.75">
      <c r="A117" s="53">
        <f t="shared" si="7"/>
        <v>101</v>
      </c>
      <c r="B117" s="41"/>
      <c r="C117" s="41"/>
      <c r="D117" s="41"/>
      <c r="E117" s="41"/>
      <c r="F117" s="41"/>
      <c r="G117" s="41">
        <f t="shared" si="6"/>
        <v>0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2.75">
      <c r="A118" s="53">
        <f t="shared" si="7"/>
        <v>102</v>
      </c>
      <c r="B118" s="41"/>
      <c r="C118" s="41"/>
      <c r="D118" s="41"/>
      <c r="E118" s="41"/>
      <c r="F118" s="41"/>
      <c r="G118" s="41">
        <f t="shared" si="6"/>
        <v>0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12.75">
      <c r="A119" s="53">
        <f t="shared" si="7"/>
        <v>103</v>
      </c>
      <c r="B119" s="41" t="s">
        <v>34</v>
      </c>
      <c r="C119" s="41">
        <v>5616483.46</v>
      </c>
      <c r="D119" s="41">
        <v>7112564.6</v>
      </c>
      <c r="E119" s="41">
        <f>-C119</f>
        <v>-5616483.46</v>
      </c>
      <c r="F119" s="41">
        <f aca="true" t="shared" si="11" ref="E119:F125">-D119</f>
        <v>-7112564.6</v>
      </c>
      <c r="G119" s="41">
        <f t="shared" si="6"/>
        <v>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ht="12.75">
      <c r="A120" s="53">
        <f t="shared" si="7"/>
        <v>104</v>
      </c>
      <c r="B120" s="41" t="s">
        <v>221</v>
      </c>
      <c r="C120" s="41">
        <v>54144384.39</v>
      </c>
      <c r="D120" s="41">
        <v>68197663.99</v>
      </c>
      <c r="E120" s="41">
        <f t="shared" si="11"/>
        <v>-54144384.39</v>
      </c>
      <c r="F120" s="41">
        <f t="shared" si="11"/>
        <v>-68197663.99</v>
      </c>
      <c r="G120" s="41">
        <f t="shared" si="6"/>
        <v>0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ht="12.75">
      <c r="A121" s="53">
        <f t="shared" si="7"/>
        <v>105</v>
      </c>
      <c r="B121" s="41" t="s">
        <v>222</v>
      </c>
      <c r="C121" s="41">
        <v>2111238.07</v>
      </c>
      <c r="D121" s="41">
        <v>1732578.7</v>
      </c>
      <c r="E121" s="41">
        <f t="shared" si="11"/>
        <v>-2111238.07</v>
      </c>
      <c r="F121" s="41">
        <f t="shared" si="11"/>
        <v>-1732578.7</v>
      </c>
      <c r="G121" s="41">
        <f t="shared" si="6"/>
        <v>0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ht="12.75">
      <c r="A122" s="53">
        <f t="shared" si="7"/>
        <v>106</v>
      </c>
      <c r="B122" s="41" t="s">
        <v>223</v>
      </c>
      <c r="C122" s="41">
        <v>313738</v>
      </c>
      <c r="D122" s="41">
        <v>68050</v>
      </c>
      <c r="E122" s="41">
        <f t="shared" si="11"/>
        <v>-313738</v>
      </c>
      <c r="F122" s="41">
        <f t="shared" si="11"/>
        <v>-68050</v>
      </c>
      <c r="G122" s="41">
        <f t="shared" si="6"/>
        <v>0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ht="12.75">
      <c r="A123" s="53">
        <f t="shared" si="7"/>
        <v>107</v>
      </c>
      <c r="B123" s="41" t="s">
        <v>224</v>
      </c>
      <c r="C123" s="41">
        <v>3913442</v>
      </c>
      <c r="D123" s="41">
        <v>444804.73</v>
      </c>
      <c r="E123" s="41">
        <f t="shared" si="11"/>
        <v>-3913442</v>
      </c>
      <c r="F123" s="41">
        <f t="shared" si="11"/>
        <v>-444804.73</v>
      </c>
      <c r="G123" s="41">
        <f t="shared" si="6"/>
        <v>0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12.75">
      <c r="A124" s="53">
        <f t="shared" si="7"/>
        <v>108</v>
      </c>
      <c r="B124" s="41" t="s">
        <v>397</v>
      </c>
      <c r="C124" s="41">
        <v>10970677</v>
      </c>
      <c r="D124" s="41">
        <v>8859898.2</v>
      </c>
      <c r="E124" s="41">
        <f t="shared" si="11"/>
        <v>-10970677</v>
      </c>
      <c r="F124" s="41">
        <f t="shared" si="11"/>
        <v>-8859898.2</v>
      </c>
      <c r="G124" s="41">
        <f>ROUND(SUM(C124:F124)/2,0)</f>
        <v>0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12.75">
      <c r="A125" s="53">
        <f t="shared" si="7"/>
        <v>109</v>
      </c>
      <c r="B125" s="41" t="s">
        <v>398</v>
      </c>
      <c r="C125" s="41">
        <v>-751191</v>
      </c>
      <c r="D125" s="41">
        <v>-374202</v>
      </c>
      <c r="E125" s="41">
        <f t="shared" si="11"/>
        <v>751191</v>
      </c>
      <c r="F125" s="41">
        <f t="shared" si="11"/>
        <v>374202</v>
      </c>
      <c r="G125" s="41">
        <f t="shared" si="6"/>
        <v>0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2.75">
      <c r="A126" s="53">
        <f t="shared" si="7"/>
        <v>110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13.5" thickBot="1">
      <c r="A127" s="53">
        <f t="shared" si="7"/>
        <v>111</v>
      </c>
      <c r="B127" s="41" t="s">
        <v>228</v>
      </c>
      <c r="C127" s="54">
        <f>SUM(C17:C126)</f>
        <v>832086463.8299998</v>
      </c>
      <c r="D127" s="54">
        <f>SUM(D17:D126)</f>
        <v>845488707.2899998</v>
      </c>
      <c r="E127" s="54">
        <f>SUM(E17:E126)</f>
        <v>-76318771.92</v>
      </c>
      <c r="F127" s="54">
        <f>SUM(F17:F126)</f>
        <v>-86041358.22</v>
      </c>
      <c r="G127" s="54">
        <f>SUM(G17:G126)</f>
        <v>757607521</v>
      </c>
      <c r="H127" s="54"/>
      <c r="I127" s="54">
        <f>SUM(I17:I126)</f>
        <v>61286631.775000006</v>
      </c>
      <c r="J127" s="54">
        <f>SUM(J17:J126)</f>
        <v>651468037.78</v>
      </c>
      <c r="K127" s="54">
        <f>SUM(K17:K126)</f>
        <v>13858260.849999998</v>
      </c>
      <c r="L127" s="54">
        <f>SUM(L17:L126)</f>
        <v>30994590.085000005</v>
      </c>
      <c r="M127" s="54">
        <f>SUM(M17:M126)</f>
        <v>0</v>
      </c>
      <c r="N127" s="54"/>
      <c r="O127" s="54">
        <f>SUM(O17:O126)</f>
        <v>64350935.76</v>
      </c>
      <c r="P127" s="54">
        <f>SUM(P17:P126)</f>
        <v>636197835.8300003</v>
      </c>
      <c r="Q127" s="54">
        <f>SUM(Q17:Q126)</f>
        <v>15048411.769999994</v>
      </c>
      <c r="R127" s="54">
        <f>SUM(R17:R126)</f>
        <v>40170508.55</v>
      </c>
      <c r="S127" s="54">
        <f>SUM(S17:S126)</f>
        <v>0</v>
      </c>
      <c r="T127" s="41"/>
      <c r="U127" s="54">
        <f>SUM(U17:U126)</f>
        <v>58222327.78999999</v>
      </c>
      <c r="V127" s="54">
        <f>SUM(V17:V126)</f>
        <v>666738239.7300001</v>
      </c>
      <c r="W127" s="54">
        <f>SUM(W17:W126)</f>
        <v>12668109.929999996</v>
      </c>
      <c r="X127" s="54">
        <f>SUM(X17:X126)</f>
        <v>21818671.62000001</v>
      </c>
      <c r="Y127" s="54">
        <f>SUM(Y17:Y126)</f>
        <v>0</v>
      </c>
    </row>
    <row r="128" spans="1:25" ht="13.5" thickTop="1">
      <c r="A128" s="51"/>
      <c r="B128" s="41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41"/>
      <c r="U128" s="55"/>
      <c r="V128" s="55"/>
      <c r="W128" s="55"/>
      <c r="X128" s="55"/>
      <c r="Y128" s="55"/>
    </row>
    <row r="129" spans="1:25" ht="12.75">
      <c r="A129" s="5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</sheetData>
  <sheetProtection/>
  <printOptions/>
  <pageMargins left="0.75" right="0.25" top="0.5" bottom="0.25" header="0" footer="0"/>
  <pageSetup horizontalDpi="600" verticalDpi="600" orientation="portrait" scale="70" r:id="rId3"/>
  <headerFooter alignWithMargins="0">
    <oddHeader>&amp;RSTATEMENT AG-3
Page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0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35" sqref="D35"/>
    </sheetView>
  </sheetViews>
  <sheetFormatPr defaultColWidth="12.7109375" defaultRowHeight="15"/>
  <cols>
    <col min="1" max="1" width="4.57421875" style="3" customWidth="1"/>
    <col min="2" max="2" width="54.8515625" style="1" customWidth="1"/>
    <col min="3" max="4" width="14.28125" style="1" customWidth="1"/>
    <col min="5" max="5" width="13.57421875" style="1" hidden="1" customWidth="1"/>
    <col min="6" max="6" width="15.7109375" style="1" hidden="1" customWidth="1"/>
    <col min="7" max="7" width="14.28125" style="1" hidden="1" customWidth="1"/>
    <col min="8" max="8" width="2.28125" style="1" hidden="1" customWidth="1"/>
    <col min="9" max="9" width="12.8515625" style="1" hidden="1" customWidth="1"/>
    <col min="10" max="11" width="15.7109375" style="1" hidden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1:19" ht="15">
      <c r="A1" s="7"/>
      <c r="B1" s="8" t="s">
        <v>399</v>
      </c>
      <c r="C1" s="9"/>
      <c r="D1" s="9"/>
      <c r="E1" s="9"/>
      <c r="F1" s="9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10"/>
    </row>
    <row r="2" spans="1:19" ht="15">
      <c r="A2" s="7"/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19"/>
    </row>
    <row r="3" spans="1:19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7"/>
      <c r="B4" s="9"/>
      <c r="C4" s="9"/>
      <c r="D4" s="9"/>
      <c r="E4" s="9"/>
      <c r="F4" s="9"/>
      <c r="G4" s="11" t="s">
        <v>2</v>
      </c>
      <c r="H4" s="11"/>
      <c r="I4" s="11"/>
      <c r="J4" s="11"/>
      <c r="K4" s="11"/>
      <c r="L4" s="11"/>
      <c r="M4" s="9"/>
      <c r="N4" s="9"/>
      <c r="O4" s="9"/>
      <c r="P4" s="9"/>
      <c r="Q4" s="9"/>
      <c r="R4" s="9"/>
      <c r="S4" s="9"/>
    </row>
    <row r="5" spans="1:19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</row>
    <row r="9" spans="1:19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17" t="s">
        <v>22</v>
      </c>
      <c r="N10" s="14"/>
      <c r="O10" s="14"/>
      <c r="P10" s="9"/>
      <c r="Q10" s="17" t="s">
        <v>659</v>
      </c>
      <c r="R10" s="14"/>
      <c r="S10" s="14"/>
    </row>
    <row r="11" spans="1:19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</row>
    <row r="12" spans="1:19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</row>
    <row r="13" spans="1:19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7"/>
      <c r="B15" s="19" t="s">
        <v>32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>
      <c r="A16" s="7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>
      <c r="A17" s="22">
        <v>1</v>
      </c>
      <c r="B17" s="19" t="s">
        <v>33</v>
      </c>
      <c r="C17" s="20">
        <f>SUM(M17:O17)</f>
        <v>26644637.95</v>
      </c>
      <c r="D17" s="20">
        <f>SUM(Q17:S17)</f>
        <v>86593718.1</v>
      </c>
      <c r="E17" s="20"/>
      <c r="F17" s="20"/>
      <c r="G17" s="20">
        <f>ROUND(SUM(C17:F17)/2,0)</f>
        <v>56619178</v>
      </c>
      <c r="H17" s="20"/>
      <c r="I17" s="20">
        <f>(+M17+Q17)/2</f>
        <v>56619178.025</v>
      </c>
      <c r="J17" s="20">
        <f>(+N17+R17)/2</f>
        <v>0</v>
      </c>
      <c r="K17" s="20">
        <f>(+O17+S17)/2</f>
        <v>0</v>
      </c>
      <c r="L17" s="20"/>
      <c r="M17" s="20">
        <v>26644637.95</v>
      </c>
      <c r="N17" s="20">
        <v>0</v>
      </c>
      <c r="O17" s="20">
        <v>0</v>
      </c>
      <c r="P17" s="20"/>
      <c r="Q17" s="20">
        <f>25059708.1+61534011-1</f>
        <v>86593718.1</v>
      </c>
      <c r="R17" s="20">
        <v>0</v>
      </c>
      <c r="S17" s="20">
        <v>0</v>
      </c>
    </row>
    <row r="18" spans="1:19" ht="15">
      <c r="A18" s="22">
        <f>A17+1</f>
        <v>2</v>
      </c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>
      <c r="A19" s="22">
        <f aca="true" t="shared" si="0" ref="A19:A82">A18+1</f>
        <v>3</v>
      </c>
      <c r="B19" s="19" t="s">
        <v>400</v>
      </c>
      <c r="C19" s="20">
        <v>0</v>
      </c>
      <c r="D19" s="20">
        <v>0</v>
      </c>
      <c r="E19" s="20">
        <f aca="true" t="shared" si="1" ref="E19:F21">-C19</f>
        <v>0</v>
      </c>
      <c r="F19" s="20">
        <f t="shared" si="1"/>
        <v>0</v>
      </c>
      <c r="G19" s="20">
        <f>ROUND(SUM(C19:F19)/2,0)</f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>
      <c r="A20" s="22">
        <f t="shared" si="0"/>
        <v>4</v>
      </c>
      <c r="B20" s="10" t="s">
        <v>35</v>
      </c>
      <c r="C20" s="20">
        <v>0</v>
      </c>
      <c r="D20" s="20">
        <v>0</v>
      </c>
      <c r="E20" s="20">
        <f t="shared" si="1"/>
        <v>0</v>
      </c>
      <c r="F20" s="20">
        <f t="shared" si="1"/>
        <v>0</v>
      </c>
      <c r="G20" s="20">
        <f>ROUND(SUM(C20:F20)/2,0)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>
      <c r="A21" s="22">
        <f t="shared" si="0"/>
        <v>5</v>
      </c>
      <c r="B21" s="10" t="s">
        <v>36</v>
      </c>
      <c r="C21" s="20">
        <v>0</v>
      </c>
      <c r="D21" s="20">
        <v>0</v>
      </c>
      <c r="E21" s="20">
        <f t="shared" si="1"/>
        <v>0</v>
      </c>
      <c r="F21" s="20">
        <f t="shared" si="1"/>
        <v>0</v>
      </c>
      <c r="G21" s="20">
        <f>ROUND(SUM(C21:F21)/2,0)</f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2">
        <f t="shared" si="0"/>
        <v>6</v>
      </c>
      <c r="B22" s="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.75" thickBot="1">
      <c r="A23" s="22">
        <f t="shared" si="0"/>
        <v>7</v>
      </c>
      <c r="B23" s="19" t="s">
        <v>37</v>
      </c>
      <c r="C23" s="23">
        <f>SUM(C17:C22)</f>
        <v>26644637.95</v>
      </c>
      <c r="D23" s="23">
        <f>SUM(D17:D22)</f>
        <v>86593718.1</v>
      </c>
      <c r="E23" s="23">
        <f>SUM(E17:E22)</f>
        <v>0</v>
      </c>
      <c r="F23" s="23">
        <f>SUM(F17:F22)</f>
        <v>0</v>
      </c>
      <c r="G23" s="23">
        <f>SUM(G17:G22)</f>
        <v>56619178</v>
      </c>
      <c r="H23" s="23"/>
      <c r="I23" s="23">
        <f>SUM(I17:I22)</f>
        <v>56619178.025</v>
      </c>
      <c r="J23" s="23">
        <f>SUM(J17:J22)</f>
        <v>0</v>
      </c>
      <c r="K23" s="23">
        <f>SUM(K17:K22)</f>
        <v>0</v>
      </c>
      <c r="L23" s="23"/>
      <c r="M23" s="23">
        <f>SUM(M17:M22)</f>
        <v>26644637.95</v>
      </c>
      <c r="N23" s="23">
        <f>SUM(N17:N22)</f>
        <v>0</v>
      </c>
      <c r="O23" s="23">
        <f>SUM(O17:O22)</f>
        <v>0</v>
      </c>
      <c r="P23" s="20"/>
      <c r="Q23" s="23">
        <f>SUM(Q17:Q22)</f>
        <v>86593718.1</v>
      </c>
      <c r="R23" s="23">
        <f>SUM(R17:R22)</f>
        <v>0</v>
      </c>
      <c r="S23" s="23">
        <f>SUM(S17:S22)</f>
        <v>0</v>
      </c>
    </row>
    <row r="24" spans="1:19" ht="15.75" thickTop="1">
      <c r="A24" s="22">
        <f t="shared" si="0"/>
        <v>8</v>
      </c>
      <c r="B24" s="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0"/>
      <c r="Q24" s="24"/>
      <c r="R24" s="24"/>
      <c r="S24" s="24"/>
    </row>
    <row r="25" spans="1:19" ht="15">
      <c r="A25" s="22">
        <f t="shared" si="0"/>
        <v>9</v>
      </c>
      <c r="B25" s="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">
      <c r="A26" s="22">
        <f t="shared" si="0"/>
        <v>10</v>
      </c>
      <c r="B26" s="10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">
      <c r="A27" s="22">
        <f t="shared" si="0"/>
        <v>11</v>
      </c>
      <c r="B27" s="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">
      <c r="A28" s="22">
        <f t="shared" si="0"/>
        <v>12</v>
      </c>
      <c r="B28" s="19" t="s">
        <v>241</v>
      </c>
      <c r="C28" s="20">
        <f aca="true" t="shared" si="2" ref="C28:C49">SUM(M28:O28)</f>
        <v>136891683.55</v>
      </c>
      <c r="D28" s="20">
        <f>SUM(Q28:S28)</f>
        <v>236167758.75</v>
      </c>
      <c r="E28" s="20"/>
      <c r="F28" s="20"/>
      <c r="G28" s="20">
        <f aca="true" t="shared" si="3" ref="G28:G55">ROUND(SUM(C28:F28)/2,0)</f>
        <v>186529721</v>
      </c>
      <c r="H28" s="20"/>
      <c r="I28" s="20">
        <f>(+M28+Q28)/2</f>
        <v>59159105.7</v>
      </c>
      <c r="J28" s="20">
        <f>(+N28+R28)/2</f>
        <v>52554086.975</v>
      </c>
      <c r="K28" s="20">
        <f aca="true" t="shared" si="4" ref="I28:K33">(+O28+S28)/2</f>
        <v>74816528.475</v>
      </c>
      <c r="L28" s="20"/>
      <c r="M28" s="20">
        <f>16943744.25-7238+6.8+2+0.7+56862</f>
        <v>16993377.75</v>
      </c>
      <c r="N28" s="20">
        <f>30.3+8+0.4-5879+48034741.75+96936+8111</f>
        <v>48133948.45</v>
      </c>
      <c r="O28" s="20">
        <f>104280.2+29841-0.6+71171150.5-12644+471730.25</f>
        <v>71764357.35</v>
      </c>
      <c r="P28" s="20"/>
      <c r="Q28" s="20">
        <f>-10.35+2+0.7+16269407.3-4422+56862+85002994</f>
        <v>101324833.65</v>
      </c>
      <c r="R28" s="20">
        <f>26.45+8+0.4-5879+56881955.65+90003+8111</f>
        <v>56974225.5</v>
      </c>
      <c r="S28" s="20">
        <f>94293.3+26982-0.6+77294403.65-18709+471730.25</f>
        <v>77868699.60000001</v>
      </c>
    </row>
    <row r="29" spans="1:19" ht="15">
      <c r="A29" s="22">
        <f t="shared" si="0"/>
        <v>13</v>
      </c>
      <c r="B29" s="19" t="s">
        <v>401</v>
      </c>
      <c r="C29" s="20">
        <f t="shared" si="2"/>
        <v>3667</v>
      </c>
      <c r="D29" s="20">
        <f aca="true" t="shared" si="5" ref="D29:D49">SUM(Q29:S29)</f>
        <v>3667</v>
      </c>
      <c r="E29" s="20"/>
      <c r="F29" s="20"/>
      <c r="G29" s="20">
        <f t="shared" si="3"/>
        <v>3667</v>
      </c>
      <c r="H29" s="20"/>
      <c r="I29" s="20">
        <f t="shared" si="4"/>
        <v>900</v>
      </c>
      <c r="J29" s="20">
        <f t="shared" si="4"/>
        <v>1264</v>
      </c>
      <c r="K29" s="20">
        <f t="shared" si="4"/>
        <v>1503</v>
      </c>
      <c r="L29" s="20"/>
      <c r="M29" s="20">
        <f>-281+1181</f>
        <v>900</v>
      </c>
      <c r="N29" s="20">
        <f>-395+1659</f>
        <v>1264</v>
      </c>
      <c r="O29" s="20">
        <f>-470+1973</f>
        <v>1503</v>
      </c>
      <c r="P29" s="20"/>
      <c r="Q29" s="20">
        <f>-281+1181</f>
        <v>900</v>
      </c>
      <c r="R29" s="20">
        <f>-395+1659</f>
        <v>1264</v>
      </c>
      <c r="S29" s="20">
        <f>-470+1973</f>
        <v>1503</v>
      </c>
    </row>
    <row r="30" spans="1:19" ht="15">
      <c r="A30" s="22">
        <f t="shared" si="0"/>
        <v>14</v>
      </c>
      <c r="B30" s="10" t="s">
        <v>402</v>
      </c>
      <c r="C30" s="20">
        <f t="shared" si="2"/>
        <v>20380</v>
      </c>
      <c r="D30" s="20">
        <f t="shared" si="5"/>
        <v>20380</v>
      </c>
      <c r="E30" s="20"/>
      <c r="F30" s="20"/>
      <c r="G30" s="20">
        <f t="shared" si="3"/>
        <v>20380</v>
      </c>
      <c r="H30" s="20"/>
      <c r="I30" s="20">
        <f t="shared" si="4"/>
        <v>5003</v>
      </c>
      <c r="J30" s="20">
        <f t="shared" si="4"/>
        <v>7027</v>
      </c>
      <c r="K30" s="20">
        <f t="shared" si="4"/>
        <v>8350</v>
      </c>
      <c r="L30" s="20"/>
      <c r="M30" s="20">
        <v>5003</v>
      </c>
      <c r="N30" s="20">
        <v>7027</v>
      </c>
      <c r="O30" s="20">
        <v>8350</v>
      </c>
      <c r="P30" s="20"/>
      <c r="Q30" s="20">
        <v>5003</v>
      </c>
      <c r="R30" s="20">
        <v>7027</v>
      </c>
      <c r="S30" s="20">
        <v>8350</v>
      </c>
    </row>
    <row r="31" spans="1:19" ht="15">
      <c r="A31" s="22">
        <f t="shared" si="0"/>
        <v>15</v>
      </c>
      <c r="B31" s="12" t="s">
        <v>403</v>
      </c>
      <c r="C31" s="20">
        <f t="shared" si="2"/>
        <v>5100.200000000001</v>
      </c>
      <c r="D31" s="20">
        <f t="shared" si="5"/>
        <v>4552.8</v>
      </c>
      <c r="E31" s="20"/>
      <c r="F31" s="20"/>
      <c r="G31" s="20">
        <f t="shared" si="3"/>
        <v>4827</v>
      </c>
      <c r="H31" s="20"/>
      <c r="I31" s="20">
        <f t="shared" si="4"/>
        <v>1587.775</v>
      </c>
      <c r="J31" s="20">
        <f t="shared" si="4"/>
        <v>3607.9750000000004</v>
      </c>
      <c r="K31" s="20">
        <f t="shared" si="4"/>
        <v>-369.25</v>
      </c>
      <c r="L31" s="20"/>
      <c r="M31" s="20">
        <v>1677.9</v>
      </c>
      <c r="N31" s="20">
        <v>3812.55</v>
      </c>
      <c r="O31" s="20">
        <v>-390.25</v>
      </c>
      <c r="P31" s="20"/>
      <c r="Q31" s="20">
        <v>1497.65</v>
      </c>
      <c r="R31" s="20">
        <v>3403.4</v>
      </c>
      <c r="S31" s="20">
        <v>-348.25</v>
      </c>
    </row>
    <row r="32" spans="1:19" ht="15">
      <c r="A32" s="22">
        <f t="shared" si="0"/>
        <v>16</v>
      </c>
      <c r="B32" s="12" t="s">
        <v>404</v>
      </c>
      <c r="C32" s="20">
        <f t="shared" si="2"/>
        <v>48968.85</v>
      </c>
      <c r="D32" s="20">
        <f t="shared" si="5"/>
        <v>42931</v>
      </c>
      <c r="E32" s="20"/>
      <c r="F32" s="20"/>
      <c r="G32" s="20">
        <f t="shared" si="3"/>
        <v>45950</v>
      </c>
      <c r="H32" s="20"/>
      <c r="I32" s="20">
        <f t="shared" si="4"/>
        <v>0</v>
      </c>
      <c r="J32" s="20">
        <f t="shared" si="4"/>
        <v>0</v>
      </c>
      <c r="K32" s="20">
        <f t="shared" si="4"/>
        <v>45949.925</v>
      </c>
      <c r="L32" s="20"/>
      <c r="M32" s="20">
        <v>0</v>
      </c>
      <c r="N32" s="20">
        <v>0</v>
      </c>
      <c r="O32" s="20">
        <v>48968.85</v>
      </c>
      <c r="P32" s="20"/>
      <c r="Q32" s="20">
        <v>0</v>
      </c>
      <c r="R32" s="20">
        <v>0</v>
      </c>
      <c r="S32" s="20">
        <v>42931</v>
      </c>
    </row>
    <row r="33" spans="1:19" ht="15">
      <c r="A33" s="22">
        <f t="shared" si="0"/>
        <v>17</v>
      </c>
      <c r="B33" s="12" t="s">
        <v>405</v>
      </c>
      <c r="C33" s="20">
        <f t="shared" si="2"/>
        <v>66670.67</v>
      </c>
      <c r="D33" s="20">
        <f t="shared" si="5"/>
        <v>50359.6</v>
      </c>
      <c r="E33" s="20"/>
      <c r="F33" s="20"/>
      <c r="G33" s="20">
        <f t="shared" si="3"/>
        <v>58515</v>
      </c>
      <c r="H33" s="20"/>
      <c r="I33" s="20">
        <f t="shared" si="4"/>
        <v>0</v>
      </c>
      <c r="J33" s="20">
        <f t="shared" si="4"/>
        <v>58515.134999999995</v>
      </c>
      <c r="K33" s="20">
        <f t="shared" si="4"/>
        <v>0</v>
      </c>
      <c r="L33" s="20"/>
      <c r="M33" s="20">
        <v>0</v>
      </c>
      <c r="N33" s="20">
        <v>66670.67</v>
      </c>
      <c r="O33" s="20">
        <v>0</v>
      </c>
      <c r="P33" s="20"/>
      <c r="Q33" s="20">
        <v>0</v>
      </c>
      <c r="R33" s="20">
        <v>50359.6</v>
      </c>
      <c r="S33" s="20">
        <v>0</v>
      </c>
    </row>
    <row r="34" spans="1:19" ht="15">
      <c r="A34" s="22">
        <f t="shared" si="0"/>
        <v>18</v>
      </c>
      <c r="B34" s="12" t="s">
        <v>406</v>
      </c>
      <c r="C34" s="20">
        <f>SUM(M34:O34)</f>
        <v>515165</v>
      </c>
      <c r="D34" s="20">
        <f>SUM(Q34:S34)</f>
        <v>1130873.45</v>
      </c>
      <c r="E34" s="20"/>
      <c r="F34" s="20"/>
      <c r="G34" s="20">
        <f>ROUND(SUM(C34:F34)/2,0)</f>
        <v>823019</v>
      </c>
      <c r="H34" s="20"/>
      <c r="I34" s="20">
        <f>(+M34+Q34)/2</f>
        <v>823019.225</v>
      </c>
      <c r="J34" s="20">
        <f>(+N34+R34)/2</f>
        <v>0</v>
      </c>
      <c r="K34" s="20">
        <f>(+O34+S34)/2</f>
        <v>0</v>
      </c>
      <c r="L34" s="20"/>
      <c r="M34" s="20">
        <v>515165</v>
      </c>
      <c r="N34" s="20">
        <v>0</v>
      </c>
      <c r="O34" s="20">
        <v>0</v>
      </c>
      <c r="P34" s="20"/>
      <c r="Q34" s="20">
        <v>1130873.45</v>
      </c>
      <c r="R34" s="20">
        <v>0</v>
      </c>
      <c r="S34" s="20">
        <v>0</v>
      </c>
    </row>
    <row r="35" spans="1:19" ht="15">
      <c r="A35" s="22">
        <f t="shared" si="0"/>
        <v>19</v>
      </c>
      <c r="B35" s="19" t="s">
        <v>407</v>
      </c>
      <c r="C35" s="20">
        <f t="shared" si="2"/>
        <v>6580600.75</v>
      </c>
      <c r="D35" s="20">
        <f t="shared" si="5"/>
        <v>6367627.6</v>
      </c>
      <c r="E35" s="20"/>
      <c r="F35" s="20"/>
      <c r="G35" s="20">
        <f t="shared" si="3"/>
        <v>6474114</v>
      </c>
      <c r="H35" s="20"/>
      <c r="I35" s="20">
        <f aca="true" t="shared" si="6" ref="I35:K50">(+M35+Q35)/2</f>
        <v>0</v>
      </c>
      <c r="J35" s="20">
        <f t="shared" si="6"/>
        <v>6474114.175</v>
      </c>
      <c r="K35" s="20">
        <f t="shared" si="6"/>
        <v>0</v>
      </c>
      <c r="L35" s="20"/>
      <c r="M35" s="20">
        <v>0</v>
      </c>
      <c r="N35" s="20">
        <f>6072901.75+507699</f>
        <v>6580600.75</v>
      </c>
      <c r="O35" s="20">
        <v>0</v>
      </c>
      <c r="P35" s="20"/>
      <c r="Q35" s="20">
        <v>0</v>
      </c>
      <c r="R35" s="20">
        <f>5876422.6+491205</f>
        <v>6367627.6</v>
      </c>
      <c r="S35" s="20">
        <v>0</v>
      </c>
    </row>
    <row r="36" spans="1:19" ht="15">
      <c r="A36" s="22">
        <f t="shared" si="0"/>
        <v>20</v>
      </c>
      <c r="B36" s="19" t="s">
        <v>45</v>
      </c>
      <c r="C36" s="20">
        <f t="shared" si="2"/>
        <v>1282376.78</v>
      </c>
      <c r="D36" s="20">
        <f t="shared" si="5"/>
        <v>4212717.6</v>
      </c>
      <c r="E36" s="20"/>
      <c r="F36" s="20"/>
      <c r="G36" s="20">
        <f t="shared" si="3"/>
        <v>2747547</v>
      </c>
      <c r="H36" s="20"/>
      <c r="I36" s="20">
        <f t="shared" si="6"/>
        <v>2747547.19</v>
      </c>
      <c r="J36" s="20">
        <f t="shared" si="6"/>
        <v>0</v>
      </c>
      <c r="K36" s="20">
        <f t="shared" si="6"/>
        <v>0</v>
      </c>
      <c r="L36" s="20"/>
      <c r="M36" s="20">
        <v>1282376.78</v>
      </c>
      <c r="N36" s="20">
        <v>0</v>
      </c>
      <c r="O36" s="20">
        <v>0</v>
      </c>
      <c r="P36" s="20"/>
      <c r="Q36" s="20">
        <f>1465971.6+2746746</f>
        <v>4212717.6</v>
      </c>
      <c r="R36" s="20">
        <v>0</v>
      </c>
      <c r="S36" s="20">
        <v>0</v>
      </c>
    </row>
    <row r="37" spans="1:19" ht="15">
      <c r="A37" s="22">
        <f t="shared" si="0"/>
        <v>21</v>
      </c>
      <c r="B37" s="19" t="s">
        <v>48</v>
      </c>
      <c r="C37" s="20">
        <f t="shared" si="2"/>
        <v>21351051.490000002</v>
      </c>
      <c r="D37" s="20">
        <f t="shared" si="5"/>
        <v>23592021.67</v>
      </c>
      <c r="E37" s="20"/>
      <c r="F37" s="20"/>
      <c r="G37" s="20">
        <f t="shared" si="3"/>
        <v>22471537</v>
      </c>
      <c r="H37" s="20"/>
      <c r="I37" s="20">
        <f t="shared" si="6"/>
        <v>5529560.65</v>
      </c>
      <c r="J37" s="20">
        <f t="shared" si="6"/>
        <v>2345388.3499999996</v>
      </c>
      <c r="K37" s="20">
        <f t="shared" si="6"/>
        <v>14596587.58</v>
      </c>
      <c r="L37" s="20"/>
      <c r="M37" s="20">
        <f>6868518.55-1876808.09</f>
        <v>4991710.46</v>
      </c>
      <c r="N37" s="20">
        <f>3692747.65-1467403.25</f>
        <v>2225344.4</v>
      </c>
      <c r="O37" s="20">
        <f>19028779.8-4894783.17</f>
        <v>14133996.63</v>
      </c>
      <c r="P37" s="20"/>
      <c r="Q37" s="20">
        <f>8241838.05-2174427.21</f>
        <v>6067410.84</v>
      </c>
      <c r="R37" s="20">
        <f>4075041.8-1609609.5</f>
        <v>2465432.3</v>
      </c>
      <c r="S37" s="20">
        <f>20670333.7-5611155.17</f>
        <v>15059178.53</v>
      </c>
    </row>
    <row r="38" spans="1:19" ht="15">
      <c r="A38" s="22">
        <f t="shared" si="0"/>
        <v>22</v>
      </c>
      <c r="B38" s="19" t="s">
        <v>408</v>
      </c>
      <c r="C38" s="20">
        <f>SUM(M38:O38)</f>
        <v>-2573776.62</v>
      </c>
      <c r="D38" s="20">
        <f>SUM(Q38:S38)</f>
        <v>-2357710.07</v>
      </c>
      <c r="E38" s="20"/>
      <c r="F38" s="20"/>
      <c r="G38" s="20">
        <f>ROUND(SUM(C38:F38)/2,0)</f>
        <v>-2465743</v>
      </c>
      <c r="H38" s="20"/>
      <c r="I38" s="20">
        <f>(+M38+Q38)/2</f>
        <v>-2465743.3449999997</v>
      </c>
      <c r="J38" s="20">
        <f>(+N38+R38)/2</f>
        <v>0</v>
      </c>
      <c r="K38" s="20">
        <f>(+O38+S38)/2</f>
        <v>0</v>
      </c>
      <c r="L38" s="20"/>
      <c r="M38" s="20">
        <v>-2573776.62</v>
      </c>
      <c r="N38" s="20">
        <v>0</v>
      </c>
      <c r="O38" s="20">
        <v>0</v>
      </c>
      <c r="P38" s="20"/>
      <c r="Q38" s="20">
        <v>-2357710.07</v>
      </c>
      <c r="R38" s="20">
        <v>0</v>
      </c>
      <c r="S38" s="20">
        <v>0</v>
      </c>
    </row>
    <row r="39" spans="1:19" ht="15">
      <c r="A39" s="22">
        <f t="shared" si="0"/>
        <v>23</v>
      </c>
      <c r="B39" s="10" t="s">
        <v>50</v>
      </c>
      <c r="C39" s="20">
        <f t="shared" si="2"/>
        <v>3748151.6399999997</v>
      </c>
      <c r="D39" s="20">
        <f t="shared" si="5"/>
        <v>3877827.3000000003</v>
      </c>
      <c r="E39" s="20"/>
      <c r="F39" s="20"/>
      <c r="G39" s="20">
        <f t="shared" si="3"/>
        <v>3812989</v>
      </c>
      <c r="H39" s="20"/>
      <c r="I39" s="20">
        <f t="shared" si="6"/>
        <v>1652013.415</v>
      </c>
      <c r="J39" s="20">
        <f t="shared" si="6"/>
        <v>1114172.205</v>
      </c>
      <c r="K39" s="20">
        <f t="shared" si="6"/>
        <v>1046803.8499999999</v>
      </c>
      <c r="L39" s="20"/>
      <c r="M39" s="20">
        <f>2796795.35-1108525.09</f>
        <v>1688270.26</v>
      </c>
      <c r="N39" s="20">
        <f>1794497.71-771761.75</f>
        <v>1022735.96</v>
      </c>
      <c r="O39" s="20">
        <f>2300781.42-1263636</f>
        <v>1037145.4199999999</v>
      </c>
      <c r="P39" s="20"/>
      <c r="Q39" s="20">
        <f>2809672.66-1193916.09</f>
        <v>1615756.57</v>
      </c>
      <c r="R39" s="20">
        <f>2031154.08-825545.63</f>
        <v>1205608.4500000002</v>
      </c>
      <c r="S39" s="20">
        <f>2384003.28-1327541</f>
        <v>1056462.2799999998</v>
      </c>
    </row>
    <row r="40" spans="1:19" ht="15">
      <c r="A40" s="22">
        <f t="shared" si="0"/>
        <v>24</v>
      </c>
      <c r="B40" s="19" t="s">
        <v>409</v>
      </c>
      <c r="C40" s="20">
        <f t="shared" si="2"/>
        <v>148316</v>
      </c>
      <c r="D40" s="20">
        <f t="shared" si="5"/>
        <v>140868.62</v>
      </c>
      <c r="E40" s="20"/>
      <c r="F40" s="20"/>
      <c r="G40" s="20">
        <f t="shared" si="3"/>
        <v>144592</v>
      </c>
      <c r="H40" s="20"/>
      <c r="I40" s="20">
        <f t="shared" si="6"/>
        <v>0</v>
      </c>
      <c r="J40" s="20">
        <f t="shared" si="6"/>
        <v>144592.31</v>
      </c>
      <c r="K40" s="20">
        <f t="shared" si="6"/>
        <v>0</v>
      </c>
      <c r="L40" s="20"/>
      <c r="M40" s="20">
        <v>0</v>
      </c>
      <c r="N40" s="20">
        <f>357446-209130</f>
        <v>148316</v>
      </c>
      <c r="O40" s="20">
        <v>0</v>
      </c>
      <c r="P40" s="20"/>
      <c r="Q40" s="20">
        <v>0</v>
      </c>
      <c r="R40" s="20">
        <f>357446-216577.38</f>
        <v>140868.62</v>
      </c>
      <c r="S40" s="20">
        <v>0</v>
      </c>
    </row>
    <row r="41" spans="1:19" ht="15">
      <c r="A41" s="22">
        <f t="shared" si="0"/>
        <v>25</v>
      </c>
      <c r="B41" s="19" t="s">
        <v>410</v>
      </c>
      <c r="C41" s="20">
        <f t="shared" si="2"/>
        <v>72249.5700000003</v>
      </c>
      <c r="D41" s="20">
        <f t="shared" si="5"/>
        <v>0.43999999947845936</v>
      </c>
      <c r="E41" s="20"/>
      <c r="F41" s="20"/>
      <c r="G41" s="20">
        <f t="shared" si="3"/>
        <v>36125</v>
      </c>
      <c r="H41" s="20"/>
      <c r="I41" s="20">
        <f t="shared" si="6"/>
        <v>0</v>
      </c>
      <c r="J41" s="20">
        <f t="shared" si="6"/>
        <v>36125.00499999989</v>
      </c>
      <c r="K41" s="20">
        <f t="shared" si="6"/>
        <v>0</v>
      </c>
      <c r="L41" s="20"/>
      <c r="M41" s="20">
        <v>0</v>
      </c>
      <c r="N41" s="20">
        <f>10959058-10886808.43</f>
        <v>72249.5700000003</v>
      </c>
      <c r="O41" s="20">
        <v>0</v>
      </c>
      <c r="P41" s="20"/>
      <c r="Q41" s="20">
        <v>0</v>
      </c>
      <c r="R41" s="20">
        <f>10959058-10959057.56</f>
        <v>0.43999999947845936</v>
      </c>
      <c r="S41" s="20">
        <v>0</v>
      </c>
    </row>
    <row r="42" spans="1:19" ht="15">
      <c r="A42" s="22">
        <f t="shared" si="0"/>
        <v>26</v>
      </c>
      <c r="B42" s="10" t="s">
        <v>54</v>
      </c>
      <c r="C42" s="20">
        <f t="shared" si="2"/>
        <v>22449.659999999974</v>
      </c>
      <c r="D42" s="20">
        <f t="shared" si="5"/>
        <v>9271.789999999979</v>
      </c>
      <c r="E42" s="20"/>
      <c r="F42" s="20"/>
      <c r="G42" s="20">
        <f t="shared" si="3"/>
        <v>15861</v>
      </c>
      <c r="H42" s="20"/>
      <c r="I42" s="20">
        <f t="shared" si="6"/>
        <v>3893.5900000000256</v>
      </c>
      <c r="J42" s="20">
        <f t="shared" si="6"/>
        <v>5469.134999999951</v>
      </c>
      <c r="K42" s="20">
        <f t="shared" si="6"/>
        <v>6498</v>
      </c>
      <c r="L42" s="20"/>
      <c r="M42" s="20">
        <f>473144-467632.66</f>
        <v>5511.340000000026</v>
      </c>
      <c r="N42" s="20">
        <f>664516-656774.68</f>
        <v>7741.319999999949</v>
      </c>
      <c r="O42" s="20">
        <f>789590-780393</f>
        <v>9197</v>
      </c>
      <c r="P42" s="20"/>
      <c r="Q42" s="20">
        <f>473144-470868.16</f>
        <v>2275.8400000000256</v>
      </c>
      <c r="R42" s="20">
        <f>664516-661319.05</f>
        <v>3196.9499999999534</v>
      </c>
      <c r="S42" s="20">
        <f>789590-785791</f>
        <v>3799</v>
      </c>
    </row>
    <row r="43" spans="1:19" ht="15">
      <c r="A43" s="22">
        <f t="shared" si="0"/>
        <v>27</v>
      </c>
      <c r="B43" s="10" t="s">
        <v>55</v>
      </c>
      <c r="C43" s="20">
        <f t="shared" si="2"/>
        <v>1209.4900000000052</v>
      </c>
      <c r="D43" s="20">
        <f t="shared" si="5"/>
        <v>41.86000000000786</v>
      </c>
      <c r="E43" s="20"/>
      <c r="F43" s="20"/>
      <c r="G43" s="20">
        <f t="shared" si="3"/>
        <v>626</v>
      </c>
      <c r="H43" s="20"/>
      <c r="I43" s="20">
        <f t="shared" si="6"/>
        <v>153.4350000000013</v>
      </c>
      <c r="J43" s="20">
        <f t="shared" si="6"/>
        <v>216.07000000000698</v>
      </c>
      <c r="K43" s="20">
        <f t="shared" si="6"/>
        <v>256.16999999999825</v>
      </c>
      <c r="L43" s="20"/>
      <c r="M43" s="20">
        <f>63444-63147</f>
        <v>297</v>
      </c>
      <c r="N43" s="20">
        <f>89104-88686.68</f>
        <v>417.320000000007</v>
      </c>
      <c r="O43" s="20">
        <f>105876-105380.83</f>
        <v>495.16999999999825</v>
      </c>
      <c r="P43" s="20"/>
      <c r="Q43" s="20">
        <f>63444-63434.13</f>
        <v>9.87000000000262</v>
      </c>
      <c r="R43" s="20">
        <f>89104-89089.18</f>
        <v>14.820000000006985</v>
      </c>
      <c r="S43" s="20">
        <f>105876-105858.83</f>
        <v>17.169999999998254</v>
      </c>
    </row>
    <row r="44" spans="1:19" ht="15">
      <c r="A44" s="22">
        <f t="shared" si="0"/>
        <v>28</v>
      </c>
      <c r="B44" s="10" t="s">
        <v>56</v>
      </c>
      <c r="C44" s="20">
        <f t="shared" si="2"/>
        <v>1348.7</v>
      </c>
      <c r="D44" s="20">
        <f t="shared" si="5"/>
        <v>-16.89</v>
      </c>
      <c r="E44" s="20"/>
      <c r="F44" s="20"/>
      <c r="G44" s="20">
        <f t="shared" si="3"/>
        <v>666</v>
      </c>
      <c r="H44" s="20"/>
      <c r="I44" s="20">
        <f t="shared" si="6"/>
        <v>188.415</v>
      </c>
      <c r="J44" s="20">
        <f t="shared" si="6"/>
        <v>211.935</v>
      </c>
      <c r="K44" s="20">
        <f t="shared" si="6"/>
        <v>265.555</v>
      </c>
      <c r="L44" s="20"/>
      <c r="M44" s="20">
        <v>360.09</v>
      </c>
      <c r="N44" s="20">
        <v>433.4</v>
      </c>
      <c r="O44" s="20">
        <v>555.21</v>
      </c>
      <c r="P44" s="20"/>
      <c r="Q44" s="20">
        <v>16.74</v>
      </c>
      <c r="R44" s="20">
        <v>-9.53</v>
      </c>
      <c r="S44" s="20">
        <v>-24.1</v>
      </c>
    </row>
    <row r="45" spans="1:19" ht="15">
      <c r="A45" s="22">
        <f t="shared" si="0"/>
        <v>29</v>
      </c>
      <c r="B45" s="10" t="s">
        <v>57</v>
      </c>
      <c r="C45" s="20">
        <f t="shared" si="2"/>
        <v>2844.09</v>
      </c>
      <c r="D45" s="20">
        <f t="shared" si="5"/>
        <v>1429.8400000000001</v>
      </c>
      <c r="E45" s="20"/>
      <c r="F45" s="20"/>
      <c r="G45" s="20">
        <f t="shared" si="3"/>
        <v>2137</v>
      </c>
      <c r="H45" s="20"/>
      <c r="I45" s="20">
        <f t="shared" si="6"/>
        <v>524.5900000000001</v>
      </c>
      <c r="J45" s="20">
        <f t="shared" si="6"/>
        <v>736.875</v>
      </c>
      <c r="K45" s="20">
        <f t="shared" si="6"/>
        <v>875.5</v>
      </c>
      <c r="L45" s="20"/>
      <c r="M45" s="20">
        <f>30082-29383.91</f>
        <v>698.0900000000001</v>
      </c>
      <c r="N45" s="20">
        <f>42249-41268</f>
        <v>981</v>
      </c>
      <c r="O45" s="20">
        <f>50200-49035</f>
        <v>1165</v>
      </c>
      <c r="P45" s="20"/>
      <c r="Q45" s="20">
        <f>30082-29730.91</f>
        <v>351.09000000000015</v>
      </c>
      <c r="R45" s="20">
        <f>42249-41756.25</f>
        <v>492.75</v>
      </c>
      <c r="S45" s="20">
        <f>50200-49614</f>
        <v>586</v>
      </c>
    </row>
    <row r="46" spans="1:19" ht="15">
      <c r="A46" s="22">
        <f t="shared" si="0"/>
        <v>30</v>
      </c>
      <c r="B46" s="10" t="s">
        <v>58</v>
      </c>
      <c r="C46" s="20">
        <f t="shared" si="2"/>
        <v>6873657.280000001</v>
      </c>
      <c r="D46" s="20">
        <f t="shared" si="5"/>
        <v>6325892.030000001</v>
      </c>
      <c r="E46" s="20"/>
      <c r="F46" s="20"/>
      <c r="G46" s="20">
        <f t="shared" si="3"/>
        <v>6599775</v>
      </c>
      <c r="H46" s="20"/>
      <c r="I46" s="20">
        <f t="shared" si="6"/>
        <v>3161757.01</v>
      </c>
      <c r="J46" s="20">
        <f t="shared" si="6"/>
        <v>462564.7749999999</v>
      </c>
      <c r="K46" s="20">
        <f t="shared" si="6"/>
        <v>2975452.870000001</v>
      </c>
      <c r="L46" s="20"/>
      <c r="M46" s="20">
        <f>5456872.1-2210682.09</f>
        <v>3246190.01</v>
      </c>
      <c r="N46" s="20">
        <f>2481591-1988319.1</f>
        <v>493271.8999999999</v>
      </c>
      <c r="O46" s="20">
        <f>12441910.55-9307715.18</f>
        <v>3134195.370000001</v>
      </c>
      <c r="P46" s="20"/>
      <c r="Q46" s="20">
        <f>5456872.1-2379548.09</f>
        <v>3077324.01</v>
      </c>
      <c r="R46" s="20">
        <f>2481591-2049733.35</f>
        <v>431857.6499999999</v>
      </c>
      <c r="S46" s="20">
        <f>12441910.55-9625200.18</f>
        <v>2816710.370000001</v>
      </c>
    </row>
    <row r="47" spans="1:19" ht="15">
      <c r="A47" s="22">
        <f t="shared" si="0"/>
        <v>31</v>
      </c>
      <c r="B47" s="19" t="s">
        <v>59</v>
      </c>
      <c r="C47" s="20">
        <f t="shared" si="2"/>
        <v>4138159.2</v>
      </c>
      <c r="D47" s="20">
        <f t="shared" si="5"/>
        <v>5642157.5</v>
      </c>
      <c r="E47" s="20"/>
      <c r="F47" s="20"/>
      <c r="G47" s="20">
        <f t="shared" si="3"/>
        <v>4890158</v>
      </c>
      <c r="H47" s="20"/>
      <c r="I47" s="20">
        <f t="shared" si="6"/>
        <v>4890158.35</v>
      </c>
      <c r="J47" s="20">
        <f t="shared" si="6"/>
        <v>0</v>
      </c>
      <c r="K47" s="20">
        <f t="shared" si="6"/>
        <v>0</v>
      </c>
      <c r="L47" s="20"/>
      <c r="M47" s="20">
        <v>4138159.2</v>
      </c>
      <c r="N47" s="20">
        <v>0</v>
      </c>
      <c r="O47" s="20">
        <v>0</v>
      </c>
      <c r="P47" s="20"/>
      <c r="Q47" s="20">
        <v>5642157.5</v>
      </c>
      <c r="R47" s="20">
        <v>0</v>
      </c>
      <c r="S47" s="20">
        <v>0</v>
      </c>
    </row>
    <row r="48" spans="1:19" ht="15">
      <c r="A48" s="22">
        <f t="shared" si="0"/>
        <v>32</v>
      </c>
      <c r="B48" s="19" t="s">
        <v>60</v>
      </c>
      <c r="C48" s="20">
        <f t="shared" si="2"/>
        <v>19098030.7</v>
      </c>
      <c r="D48" s="20">
        <f t="shared" si="5"/>
        <v>17678351.6</v>
      </c>
      <c r="E48" s="20"/>
      <c r="F48" s="20"/>
      <c r="G48" s="20">
        <f t="shared" si="3"/>
        <v>18388191</v>
      </c>
      <c r="H48" s="20"/>
      <c r="I48" s="20">
        <f t="shared" si="6"/>
        <v>18388191.15</v>
      </c>
      <c r="J48" s="20">
        <f t="shared" si="6"/>
        <v>0</v>
      </c>
      <c r="K48" s="20">
        <f t="shared" si="6"/>
        <v>0</v>
      </c>
      <c r="L48" s="20"/>
      <c r="M48" s="20">
        <v>19098030.7</v>
      </c>
      <c r="N48" s="20">
        <v>0</v>
      </c>
      <c r="O48" s="20">
        <v>0</v>
      </c>
      <c r="P48" s="20"/>
      <c r="Q48" s="20">
        <v>17678351.6</v>
      </c>
      <c r="R48" s="20">
        <v>0</v>
      </c>
      <c r="S48" s="20">
        <v>0</v>
      </c>
    </row>
    <row r="49" spans="1:19" ht="15">
      <c r="A49" s="22">
        <f t="shared" si="0"/>
        <v>33</v>
      </c>
      <c r="B49" s="10" t="s">
        <v>61</v>
      </c>
      <c r="C49" s="20">
        <f t="shared" si="2"/>
        <v>260328.35</v>
      </c>
      <c r="D49" s="20">
        <f t="shared" si="5"/>
        <v>311091.80000000005</v>
      </c>
      <c r="E49" s="20"/>
      <c r="F49" s="20"/>
      <c r="G49" s="20">
        <f>ROUND(SUM(C49:F49)/2,0)</f>
        <v>285710</v>
      </c>
      <c r="H49" s="20"/>
      <c r="I49" s="20">
        <f t="shared" si="6"/>
        <v>0</v>
      </c>
      <c r="J49" s="20">
        <f t="shared" si="6"/>
        <v>-9588.099999999999</v>
      </c>
      <c r="K49" s="20">
        <f t="shared" si="6"/>
        <v>295298.17500000005</v>
      </c>
      <c r="L49" s="20"/>
      <c r="M49" s="20">
        <v>0</v>
      </c>
      <c r="N49" s="20">
        <f>-24993.85+14989.5</f>
        <v>-10004.349999999999</v>
      </c>
      <c r="O49" s="20">
        <f>348595.45-78262.75</f>
        <v>270332.7</v>
      </c>
      <c r="P49" s="20"/>
      <c r="Q49" s="20">
        <v>0</v>
      </c>
      <c r="R49" s="20">
        <f>-24993.85+15822</f>
        <v>-9171.849999999999</v>
      </c>
      <c r="S49" s="20">
        <f>413386.4-93122.75</f>
        <v>320263.65</v>
      </c>
    </row>
    <row r="50" spans="1:19" ht="15">
      <c r="A50" s="22">
        <f t="shared" si="0"/>
        <v>34</v>
      </c>
      <c r="B50" s="19" t="s">
        <v>65</v>
      </c>
      <c r="C50" s="20">
        <f>SUM(M50:O50)</f>
        <v>164484.59999999998</v>
      </c>
      <c r="D50" s="20">
        <f>SUM(Q50:S50)</f>
        <v>164484.59999999998</v>
      </c>
      <c r="E50" s="20"/>
      <c r="F50" s="20"/>
      <c r="G50" s="20">
        <f>ROUND(SUM(C50:F50)/2,0)</f>
        <v>164485</v>
      </c>
      <c r="H50" s="20"/>
      <c r="I50" s="20">
        <f t="shared" si="6"/>
        <v>115406.9</v>
      </c>
      <c r="J50" s="20">
        <f t="shared" si="6"/>
        <v>2159.15</v>
      </c>
      <c r="K50" s="20">
        <f t="shared" si="6"/>
        <v>46918.55</v>
      </c>
      <c r="L50" s="20"/>
      <c r="M50" s="20">
        <v>115406.9</v>
      </c>
      <c r="N50" s="20">
        <v>2159.15</v>
      </c>
      <c r="O50" s="20">
        <v>46918.55</v>
      </c>
      <c r="P50" s="20"/>
      <c r="Q50" s="20">
        <v>115406.9</v>
      </c>
      <c r="R50" s="20">
        <v>2159.15</v>
      </c>
      <c r="S50" s="20">
        <v>46918.55</v>
      </c>
    </row>
    <row r="51" spans="1:19" ht="15">
      <c r="A51" s="22">
        <f t="shared" si="0"/>
        <v>35</v>
      </c>
      <c r="B51" s="19" t="s">
        <v>694</v>
      </c>
      <c r="C51" s="20">
        <f>SUM(M51:O51)</f>
        <v>0</v>
      </c>
      <c r="D51" s="20">
        <f>SUM(Q51:S51)</f>
        <v>5373871</v>
      </c>
      <c r="E51" s="20"/>
      <c r="F51" s="20"/>
      <c r="G51" s="20">
        <f>ROUND(SUM(C51:F51)/2,0)</f>
        <v>2686936</v>
      </c>
      <c r="H51" s="20"/>
      <c r="I51" s="20">
        <f aca="true" t="shared" si="7" ref="I51:K52">(+M51+Q51)/2</f>
        <v>2686935.5</v>
      </c>
      <c r="J51" s="20">
        <f t="shared" si="7"/>
        <v>0</v>
      </c>
      <c r="K51" s="20">
        <f t="shared" si="7"/>
        <v>0</v>
      </c>
      <c r="L51" s="20"/>
      <c r="M51" s="20">
        <v>0</v>
      </c>
      <c r="N51" s="20">
        <v>0</v>
      </c>
      <c r="O51" s="20">
        <v>0</v>
      </c>
      <c r="P51" s="20"/>
      <c r="Q51" s="20">
        <v>5373871</v>
      </c>
      <c r="R51" s="20">
        <v>0</v>
      </c>
      <c r="S51" s="20">
        <v>0</v>
      </c>
    </row>
    <row r="52" spans="1:19" ht="15">
      <c r="A52" s="22">
        <f t="shared" si="0"/>
        <v>36</v>
      </c>
      <c r="B52" s="19" t="s">
        <v>72</v>
      </c>
      <c r="C52" s="20">
        <f>SUM(M52:O52)</f>
        <v>0</v>
      </c>
      <c r="D52" s="20">
        <f>SUM(Q52:S52)</f>
        <v>0</v>
      </c>
      <c r="E52" s="20"/>
      <c r="F52" s="20"/>
      <c r="G52" s="20">
        <f>ROUND(SUM(C52:F52)/2,0)</f>
        <v>0</v>
      </c>
      <c r="H52" s="20"/>
      <c r="I52" s="20">
        <f t="shared" si="7"/>
        <v>0</v>
      </c>
      <c r="J52" s="20">
        <f t="shared" si="7"/>
        <v>0</v>
      </c>
      <c r="K52" s="20">
        <f>(+O52+S52)/2</f>
        <v>0</v>
      </c>
      <c r="L52" s="20"/>
      <c r="M52" s="20"/>
      <c r="N52" s="20"/>
      <c r="O52" s="20"/>
      <c r="P52" s="20"/>
      <c r="Q52" s="20">
        <v>0</v>
      </c>
      <c r="R52" s="20">
        <v>0</v>
      </c>
      <c r="S52" s="20">
        <v>0</v>
      </c>
    </row>
    <row r="53" spans="1:19" ht="15">
      <c r="A53" s="22">
        <f t="shared" si="0"/>
        <v>37</v>
      </c>
      <c r="B53" s="10" t="s">
        <v>34</v>
      </c>
      <c r="C53" s="20">
        <f>SUM(P53:R53)</f>
        <v>0</v>
      </c>
      <c r="D53" s="20">
        <f>SUM(Q53:S53)</f>
        <v>0</v>
      </c>
      <c r="E53" s="20">
        <f aca="true" t="shared" si="8" ref="E53:F55">-C53</f>
        <v>0</v>
      </c>
      <c r="F53" s="20">
        <f t="shared" si="8"/>
        <v>0</v>
      </c>
      <c r="G53" s="20">
        <f>ROUND(SUM(C53:F53)/2,0)</f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5">
      <c r="A54" s="22">
        <f t="shared" si="0"/>
        <v>38</v>
      </c>
      <c r="B54" s="10" t="s">
        <v>73</v>
      </c>
      <c r="C54" s="20">
        <f>1833513.76+24858549.63+27720471.09</f>
        <v>54412534.480000004</v>
      </c>
      <c r="D54" s="20">
        <v>56063600.63</v>
      </c>
      <c r="E54" s="20">
        <f t="shared" si="8"/>
        <v>-54412534.480000004</v>
      </c>
      <c r="F54" s="20">
        <f t="shared" si="8"/>
        <v>-56063600.63</v>
      </c>
      <c r="G54" s="20">
        <f t="shared" si="3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5">
      <c r="A55" s="22">
        <f t="shared" si="0"/>
        <v>39</v>
      </c>
      <c r="B55" s="10" t="s">
        <v>74</v>
      </c>
      <c r="C55" s="20">
        <f>1052-607450-27520</f>
        <v>-633918</v>
      </c>
      <c r="D55" s="20">
        <v>-604383</v>
      </c>
      <c r="E55" s="20">
        <f t="shared" si="8"/>
        <v>633918</v>
      </c>
      <c r="F55" s="20">
        <f t="shared" si="8"/>
        <v>604383</v>
      </c>
      <c r="G55" s="20">
        <f t="shared" si="3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>
      <c r="A56" s="22">
        <f t="shared" si="0"/>
        <v>40</v>
      </c>
      <c r="B56" s="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.75" thickBot="1">
      <c r="A57" s="22">
        <f t="shared" si="0"/>
        <v>41</v>
      </c>
      <c r="B57" s="10" t="s">
        <v>75</v>
      </c>
      <c r="C57" s="23">
        <f>SUM(C28:C56)</f>
        <v>252501733.42999995</v>
      </c>
      <c r="D57" s="23">
        <f>SUM(D28:D56)</f>
        <v>364219668.52000004</v>
      </c>
      <c r="E57" s="23">
        <f>SUM(E28:E56)</f>
        <v>-53778616.480000004</v>
      </c>
      <c r="F57" s="23">
        <f>SUM(F28:F56)</f>
        <v>-55459217.63</v>
      </c>
      <c r="G57" s="23">
        <f>SUM(G28:G56)</f>
        <v>253741785</v>
      </c>
      <c r="H57" s="23"/>
      <c r="I57" s="23">
        <f>SUM(I28:I56)</f>
        <v>96700202.55000004</v>
      </c>
      <c r="J57" s="23">
        <f>SUM(J28:J56)</f>
        <v>63200662.97</v>
      </c>
      <c r="K57" s="23">
        <f>SUM(K28:K56)</f>
        <v>93840918.39999999</v>
      </c>
      <c r="L57" s="23"/>
      <c r="M57" s="23">
        <f>SUM(M28:M56)</f>
        <v>49509357.86</v>
      </c>
      <c r="N57" s="23">
        <f>SUM(N28:N56)</f>
        <v>58756969.089999996</v>
      </c>
      <c r="O57" s="23">
        <f>SUM(O28:O56)</f>
        <v>90456789.99999999</v>
      </c>
      <c r="P57" s="20"/>
      <c r="Q57" s="23">
        <f>SUM(Q28:Q56)</f>
        <v>143891047.24000004</v>
      </c>
      <c r="R57" s="23">
        <f>SUM(R28:R56)</f>
        <v>67644356.85000001</v>
      </c>
      <c r="S57" s="23">
        <f>SUM(S28:S56)</f>
        <v>97225046.80000003</v>
      </c>
    </row>
    <row r="58" spans="1:19" ht="15.75" thickTop="1">
      <c r="A58" s="22">
        <f t="shared" si="0"/>
        <v>42</v>
      </c>
      <c r="B58" s="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0"/>
      <c r="Q58" s="24"/>
      <c r="R58" s="24"/>
      <c r="S58" s="24"/>
    </row>
    <row r="59" spans="1:19" ht="15">
      <c r="A59" s="22">
        <f t="shared" si="0"/>
        <v>43</v>
      </c>
      <c r="B59" s="1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5">
      <c r="A60" s="22">
        <f t="shared" si="0"/>
        <v>44</v>
      </c>
      <c r="B60" s="19" t="s">
        <v>76</v>
      </c>
      <c r="C60" s="20" t="s">
        <v>77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5">
      <c r="A61" s="22">
        <f t="shared" si="0"/>
        <v>45</v>
      </c>
      <c r="B61" s="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">
      <c r="A62" s="22">
        <f t="shared" si="0"/>
        <v>46</v>
      </c>
      <c r="B62" s="19" t="s">
        <v>411</v>
      </c>
      <c r="C62" s="20">
        <f aca="true" t="shared" si="9" ref="C62:C88">SUM(M62:O62)</f>
        <v>1877638.47</v>
      </c>
      <c r="D62" s="20">
        <f aca="true" t="shared" si="10" ref="D62:D88">SUM(Q62:S62)</f>
        <v>1591449.77</v>
      </c>
      <c r="E62" s="20"/>
      <c r="F62" s="20"/>
      <c r="G62" s="20">
        <f aca="true" t="shared" si="11" ref="G62:G92">ROUND(SUM(C62:F62)/2,0)</f>
        <v>1734544</v>
      </c>
      <c r="H62" s="20"/>
      <c r="I62" s="20">
        <f aca="true" t="shared" si="12" ref="I62:K88">(+M62+Q62)/2</f>
        <v>1734544.12</v>
      </c>
      <c r="J62" s="20">
        <f t="shared" si="12"/>
        <v>0</v>
      </c>
      <c r="K62" s="20">
        <f t="shared" si="12"/>
        <v>0</v>
      </c>
      <c r="L62" s="20"/>
      <c r="M62" s="20">
        <v>1877638.47</v>
      </c>
      <c r="N62" s="20">
        <v>0</v>
      </c>
      <c r="O62" s="20">
        <v>0</v>
      </c>
      <c r="P62" s="20"/>
      <c r="Q62" s="20">
        <v>1591449.77</v>
      </c>
      <c r="R62" s="20">
        <v>0</v>
      </c>
      <c r="S62" s="20">
        <v>0</v>
      </c>
    </row>
    <row r="63" spans="1:19" ht="15">
      <c r="A63" s="22">
        <f t="shared" si="0"/>
        <v>47</v>
      </c>
      <c r="B63" s="19" t="s">
        <v>412</v>
      </c>
      <c r="C63" s="20">
        <f t="shared" si="9"/>
        <v>798147.65</v>
      </c>
      <c r="D63" s="20">
        <f t="shared" si="10"/>
        <v>299852.65</v>
      </c>
      <c r="E63" s="20"/>
      <c r="F63" s="20"/>
      <c r="G63" s="20">
        <f t="shared" si="11"/>
        <v>549000</v>
      </c>
      <c r="H63" s="20"/>
      <c r="I63" s="20">
        <f t="shared" si="12"/>
        <v>549000.15</v>
      </c>
      <c r="J63" s="20">
        <f t="shared" si="12"/>
        <v>0</v>
      </c>
      <c r="K63" s="20">
        <f t="shared" si="12"/>
        <v>0</v>
      </c>
      <c r="L63" s="20"/>
      <c r="M63" s="20">
        <v>798147.65</v>
      </c>
      <c r="N63" s="20">
        <v>0</v>
      </c>
      <c r="O63" s="20">
        <v>0</v>
      </c>
      <c r="P63" s="20"/>
      <c r="Q63" s="20">
        <v>299852.65</v>
      </c>
      <c r="R63" s="20">
        <v>0</v>
      </c>
      <c r="S63" s="20">
        <v>0</v>
      </c>
    </row>
    <row r="64" spans="1:19" ht="15">
      <c r="A64" s="22">
        <f t="shared" si="0"/>
        <v>48</v>
      </c>
      <c r="B64" s="19" t="s">
        <v>413</v>
      </c>
      <c r="C64" s="20">
        <f t="shared" si="9"/>
        <v>1659606.55</v>
      </c>
      <c r="D64" s="20">
        <f t="shared" si="10"/>
        <v>1659606.55</v>
      </c>
      <c r="E64" s="20"/>
      <c r="F64" s="20"/>
      <c r="G64" s="20">
        <f t="shared" si="11"/>
        <v>1659607</v>
      </c>
      <c r="H64" s="20"/>
      <c r="I64" s="20">
        <f t="shared" si="12"/>
        <v>1659606.55</v>
      </c>
      <c r="J64" s="20">
        <f t="shared" si="12"/>
        <v>0</v>
      </c>
      <c r="K64" s="20">
        <f t="shared" si="12"/>
        <v>0</v>
      </c>
      <c r="L64" s="20"/>
      <c r="M64" s="20">
        <v>1659606.55</v>
      </c>
      <c r="N64" s="20">
        <v>0</v>
      </c>
      <c r="O64" s="20">
        <v>0</v>
      </c>
      <c r="P64" s="20"/>
      <c r="Q64" s="20">
        <v>1659606.55</v>
      </c>
      <c r="R64" s="20">
        <v>0</v>
      </c>
      <c r="S64" s="20">
        <v>0</v>
      </c>
    </row>
    <row r="65" spans="1:19" ht="15">
      <c r="A65" s="22">
        <f t="shared" si="0"/>
        <v>49</v>
      </c>
      <c r="B65" s="19" t="s">
        <v>695</v>
      </c>
      <c r="C65" s="20">
        <f>SUM(M65:O65)</f>
        <v>0</v>
      </c>
      <c r="D65" s="20">
        <f>SUM(Q65:S65)</f>
        <v>660593</v>
      </c>
      <c r="E65" s="20"/>
      <c r="F65" s="20"/>
      <c r="G65" s="20">
        <f>ROUND(SUM(C65:F65)/2,0)</f>
        <v>330297</v>
      </c>
      <c r="H65" s="20"/>
      <c r="I65" s="20">
        <f>(+M65+Q65)/2</f>
        <v>330296.5</v>
      </c>
      <c r="J65" s="20">
        <f>(+N65+R65)/2</f>
        <v>0</v>
      </c>
      <c r="K65" s="20">
        <f>(+O65+S65)/2</f>
        <v>0</v>
      </c>
      <c r="L65" s="20"/>
      <c r="M65" s="20">
        <v>0</v>
      </c>
      <c r="N65" s="20">
        <v>0</v>
      </c>
      <c r="O65" s="20">
        <v>0</v>
      </c>
      <c r="P65" s="20"/>
      <c r="Q65" s="20">
        <v>660593</v>
      </c>
      <c r="R65" s="20">
        <v>0</v>
      </c>
      <c r="S65" s="20">
        <v>0</v>
      </c>
    </row>
    <row r="66" spans="1:19" ht="15">
      <c r="A66" s="22">
        <f t="shared" si="0"/>
        <v>50</v>
      </c>
      <c r="B66" s="10" t="s">
        <v>86</v>
      </c>
      <c r="C66" s="20">
        <f t="shared" si="9"/>
        <v>3511631.2</v>
      </c>
      <c r="D66" s="20">
        <f t="shared" si="10"/>
        <v>2184241.85</v>
      </c>
      <c r="E66" s="20"/>
      <c r="F66" s="20"/>
      <c r="G66" s="20">
        <f t="shared" si="11"/>
        <v>2847937</v>
      </c>
      <c r="H66" s="20"/>
      <c r="I66" s="20">
        <f t="shared" si="12"/>
        <v>2847936.5250000004</v>
      </c>
      <c r="J66" s="20">
        <f t="shared" si="12"/>
        <v>0</v>
      </c>
      <c r="K66" s="20">
        <f t="shared" si="12"/>
        <v>0</v>
      </c>
      <c r="L66" s="20"/>
      <c r="M66" s="20">
        <v>3511631.2</v>
      </c>
      <c r="N66" s="20">
        <v>0</v>
      </c>
      <c r="O66" s="20">
        <v>0</v>
      </c>
      <c r="P66" s="20"/>
      <c r="Q66" s="20">
        <v>2184241.85</v>
      </c>
      <c r="R66" s="20">
        <v>0</v>
      </c>
      <c r="S66" s="20">
        <v>0</v>
      </c>
    </row>
    <row r="67" spans="1:19" ht="15">
      <c r="A67" s="22">
        <f t="shared" si="0"/>
        <v>51</v>
      </c>
      <c r="B67" s="19" t="s">
        <v>87</v>
      </c>
      <c r="C67" s="20">
        <f t="shared" si="9"/>
        <v>-12482.05</v>
      </c>
      <c r="D67" s="20">
        <f>SUM(Q67:S67)</f>
        <v>-127484.35</v>
      </c>
      <c r="E67" s="20"/>
      <c r="F67" s="20"/>
      <c r="G67" s="20">
        <f>ROUND(SUM(C67:F67)/2,0)</f>
        <v>-69983</v>
      </c>
      <c r="H67" s="20"/>
      <c r="I67" s="20">
        <f>(+M67+Q67)/2</f>
        <v>-69983.2</v>
      </c>
      <c r="J67" s="20">
        <f>(+N67+R67)/2</f>
        <v>0</v>
      </c>
      <c r="K67" s="20">
        <f>(+O67+S67)/2</f>
        <v>0</v>
      </c>
      <c r="L67" s="20"/>
      <c r="M67" s="20">
        <v>-12482.05</v>
      </c>
      <c r="N67" s="20">
        <v>0</v>
      </c>
      <c r="O67" s="20">
        <v>0</v>
      </c>
      <c r="P67" s="20"/>
      <c r="Q67" s="20">
        <v>-127484.35</v>
      </c>
      <c r="R67" s="20">
        <v>0</v>
      </c>
      <c r="S67" s="20">
        <v>0</v>
      </c>
    </row>
    <row r="68" spans="1:19" ht="15">
      <c r="A68" s="22">
        <f t="shared" si="0"/>
        <v>52</v>
      </c>
      <c r="B68" s="19" t="s">
        <v>414</v>
      </c>
      <c r="C68" s="20">
        <f t="shared" si="9"/>
        <v>0</v>
      </c>
      <c r="D68" s="20">
        <f t="shared" si="10"/>
        <v>0</v>
      </c>
      <c r="E68" s="20"/>
      <c r="F68" s="20"/>
      <c r="G68" s="20">
        <f t="shared" si="11"/>
        <v>0</v>
      </c>
      <c r="H68" s="20"/>
      <c r="I68" s="20">
        <f t="shared" si="12"/>
        <v>0</v>
      </c>
      <c r="J68" s="20">
        <f t="shared" si="12"/>
        <v>0</v>
      </c>
      <c r="K68" s="20">
        <f t="shared" si="12"/>
        <v>0</v>
      </c>
      <c r="L68" s="20"/>
      <c r="M68" s="20">
        <v>0</v>
      </c>
      <c r="N68" s="20">
        <v>0</v>
      </c>
      <c r="O68" s="20">
        <v>0</v>
      </c>
      <c r="P68" s="20"/>
      <c r="Q68" s="20">
        <v>0</v>
      </c>
      <c r="R68" s="20">
        <v>0</v>
      </c>
      <c r="S68" s="20">
        <v>0</v>
      </c>
    </row>
    <row r="69" spans="1:19" ht="15">
      <c r="A69" s="22">
        <f t="shared" si="0"/>
        <v>53</v>
      </c>
      <c r="B69" s="19" t="s">
        <v>88</v>
      </c>
      <c r="C69" s="20">
        <f>SUM(M69:O69)</f>
        <v>0</v>
      </c>
      <c r="D69" s="20">
        <f>SUM(Q69:S69)</f>
        <v>10082381</v>
      </c>
      <c r="E69" s="20"/>
      <c r="F69" s="20"/>
      <c r="G69" s="20">
        <f>ROUND(SUM(C69:F69)/2,0)</f>
        <v>5041191</v>
      </c>
      <c r="H69" s="20"/>
      <c r="I69" s="20">
        <f>(+M69+Q69)/2</f>
        <v>5041190.5</v>
      </c>
      <c r="J69" s="20">
        <f>(+N69+R69)/2</f>
        <v>0</v>
      </c>
      <c r="K69" s="20">
        <f>(+O69+S69)/2</f>
        <v>0</v>
      </c>
      <c r="L69" s="20"/>
      <c r="M69" s="20">
        <v>0</v>
      </c>
      <c r="N69" s="20">
        <v>0</v>
      </c>
      <c r="O69" s="20">
        <v>0</v>
      </c>
      <c r="P69" s="20"/>
      <c r="Q69" s="20">
        <v>10082381</v>
      </c>
      <c r="R69" s="20">
        <v>0</v>
      </c>
      <c r="S69" s="20">
        <v>0</v>
      </c>
    </row>
    <row r="70" spans="1:19" ht="15">
      <c r="A70" s="22">
        <f t="shared" si="0"/>
        <v>54</v>
      </c>
      <c r="B70" s="19" t="s">
        <v>89</v>
      </c>
      <c r="C70" s="20">
        <f t="shared" si="9"/>
        <v>-16677496.850000001</v>
      </c>
      <c r="D70" s="20">
        <f>SUM(Q70:S70)</f>
        <v>-18173905.95</v>
      </c>
      <c r="E70" s="20"/>
      <c r="F70" s="20"/>
      <c r="G70" s="20">
        <f>ROUND(SUM(C70:F70)/2,0)</f>
        <v>-17425701</v>
      </c>
      <c r="H70" s="20"/>
      <c r="I70" s="20">
        <f t="shared" si="12"/>
        <v>-7725935.625</v>
      </c>
      <c r="J70" s="20">
        <f t="shared" si="12"/>
        <v>-662233.775</v>
      </c>
      <c r="K70" s="20">
        <f t="shared" si="12"/>
        <v>-9037532</v>
      </c>
      <c r="L70" s="20"/>
      <c r="M70" s="20">
        <v>-5245325.4</v>
      </c>
      <c r="N70" s="20">
        <v>-867968.15</v>
      </c>
      <c r="O70" s="20">
        <v>-10564203.3</v>
      </c>
      <c r="P70" s="20"/>
      <c r="Q70" s="20">
        <f>-3415639.85-6790906</f>
        <v>-10206545.85</v>
      </c>
      <c r="R70" s="20">
        <v>-456499.4</v>
      </c>
      <c r="S70" s="20">
        <v>-7510860.7</v>
      </c>
    </row>
    <row r="71" spans="1:19" ht="15">
      <c r="A71" s="22">
        <f t="shared" si="0"/>
        <v>55</v>
      </c>
      <c r="B71" s="19" t="s">
        <v>290</v>
      </c>
      <c r="C71" s="20">
        <f t="shared" si="9"/>
        <v>289122.58</v>
      </c>
      <c r="D71" s="20">
        <f>SUM(Q71:S71)</f>
        <v>223300.71</v>
      </c>
      <c r="E71" s="20"/>
      <c r="F71" s="20"/>
      <c r="G71" s="20">
        <f>ROUND(SUM(C71:F71)/2,0)</f>
        <v>256212</v>
      </c>
      <c r="H71" s="20"/>
      <c r="I71" s="20">
        <f>(+M71+Q71)/2</f>
        <v>0</v>
      </c>
      <c r="J71" s="20">
        <f>(+N71+R71)/2</f>
        <v>256211.64500000002</v>
      </c>
      <c r="K71" s="20">
        <f>(+O71+S71)/2</f>
        <v>0</v>
      </c>
      <c r="L71" s="20"/>
      <c r="M71" s="20">
        <v>0</v>
      </c>
      <c r="N71" s="20">
        <v>289122.58</v>
      </c>
      <c r="O71" s="20">
        <v>0</v>
      </c>
      <c r="P71" s="20"/>
      <c r="Q71" s="20">
        <v>0</v>
      </c>
      <c r="R71" s="20">
        <v>223300.71</v>
      </c>
      <c r="S71" s="20">
        <v>0</v>
      </c>
    </row>
    <row r="72" spans="1:19" ht="15">
      <c r="A72" s="22">
        <f t="shared" si="0"/>
        <v>56</v>
      </c>
      <c r="B72" s="19" t="s">
        <v>415</v>
      </c>
      <c r="C72" s="20">
        <f t="shared" si="9"/>
        <v>556262.89</v>
      </c>
      <c r="D72" s="20">
        <f t="shared" si="10"/>
        <v>319814.62</v>
      </c>
      <c r="E72" s="20"/>
      <c r="F72" s="20"/>
      <c r="G72" s="20">
        <f t="shared" si="11"/>
        <v>438039</v>
      </c>
      <c r="H72" s="20"/>
      <c r="I72" s="20">
        <f t="shared" si="12"/>
        <v>0</v>
      </c>
      <c r="J72" s="20">
        <f t="shared" si="12"/>
        <v>0</v>
      </c>
      <c r="K72" s="20">
        <f t="shared" si="12"/>
        <v>438038.755</v>
      </c>
      <c r="L72" s="20"/>
      <c r="M72" s="20">
        <v>0</v>
      </c>
      <c r="N72" s="20">
        <v>0</v>
      </c>
      <c r="O72" s="20">
        <v>556262.89</v>
      </c>
      <c r="P72" s="20"/>
      <c r="Q72" s="20">
        <v>0</v>
      </c>
      <c r="R72" s="20">
        <v>0</v>
      </c>
      <c r="S72" s="20">
        <v>319814.62</v>
      </c>
    </row>
    <row r="73" spans="1:19" ht="15">
      <c r="A73" s="22">
        <f t="shared" si="0"/>
        <v>57</v>
      </c>
      <c r="B73" s="19" t="s">
        <v>416</v>
      </c>
      <c r="C73" s="20">
        <f t="shared" si="9"/>
        <v>3816659.3</v>
      </c>
      <c r="D73" s="20">
        <f t="shared" si="10"/>
        <v>6879148.3</v>
      </c>
      <c r="E73" s="20"/>
      <c r="F73" s="20"/>
      <c r="G73" s="20">
        <f t="shared" si="11"/>
        <v>5347904</v>
      </c>
      <c r="H73" s="20"/>
      <c r="I73" s="20">
        <f t="shared" si="12"/>
        <v>5347903.8</v>
      </c>
      <c r="J73" s="20">
        <f t="shared" si="12"/>
        <v>0</v>
      </c>
      <c r="K73" s="20">
        <f t="shared" si="12"/>
        <v>0</v>
      </c>
      <c r="L73" s="20"/>
      <c r="M73" s="20">
        <v>3816659.3</v>
      </c>
      <c r="N73" s="20">
        <v>0</v>
      </c>
      <c r="O73" s="20">
        <v>0</v>
      </c>
      <c r="P73" s="20"/>
      <c r="Q73" s="20">
        <f>5647978.3+1231170</f>
        <v>6879148.3</v>
      </c>
      <c r="R73" s="20">
        <v>0</v>
      </c>
      <c r="S73" s="20">
        <v>0</v>
      </c>
    </row>
    <row r="74" spans="1:19" ht="15">
      <c r="A74" s="22">
        <f t="shared" si="0"/>
        <v>58</v>
      </c>
      <c r="B74" s="19" t="s">
        <v>665</v>
      </c>
      <c r="C74" s="20">
        <f>SUM(M74:O74)</f>
        <v>0</v>
      </c>
      <c r="D74" s="20">
        <f>SUM(Q74:S74)</f>
        <v>108006</v>
      </c>
      <c r="E74" s="20"/>
      <c r="F74" s="20"/>
      <c r="G74" s="20">
        <f>ROUND(SUM(C74:F74)/2,0)</f>
        <v>54003</v>
      </c>
      <c r="H74" s="20"/>
      <c r="I74" s="20">
        <f>(+M74+Q74)/2</f>
        <v>54003</v>
      </c>
      <c r="J74" s="20">
        <f>(+N74+R74)/2</f>
        <v>0</v>
      </c>
      <c r="K74" s="20">
        <f>(+O74+S74)/2</f>
        <v>0</v>
      </c>
      <c r="L74" s="20"/>
      <c r="M74" s="20">
        <v>0</v>
      </c>
      <c r="N74" s="20">
        <v>0</v>
      </c>
      <c r="O74" s="20">
        <v>0</v>
      </c>
      <c r="P74" s="20"/>
      <c r="Q74" s="20">
        <v>108006</v>
      </c>
      <c r="R74" s="20">
        <v>0</v>
      </c>
      <c r="S74" s="20">
        <v>0</v>
      </c>
    </row>
    <row r="75" spans="1:19" ht="15">
      <c r="A75" s="22">
        <f t="shared" si="0"/>
        <v>59</v>
      </c>
      <c r="B75" s="10" t="s">
        <v>296</v>
      </c>
      <c r="C75" s="20">
        <f t="shared" si="9"/>
        <v>-20416.55</v>
      </c>
      <c r="D75" s="20">
        <f t="shared" si="10"/>
        <v>-239417.55</v>
      </c>
      <c r="E75" s="20"/>
      <c r="F75" s="20"/>
      <c r="G75" s="20">
        <f t="shared" si="11"/>
        <v>-129917</v>
      </c>
      <c r="H75" s="20"/>
      <c r="I75" s="20">
        <f t="shared" si="12"/>
        <v>-129917.04999999999</v>
      </c>
      <c r="J75" s="20">
        <f t="shared" si="12"/>
        <v>0</v>
      </c>
      <c r="K75" s="20">
        <f t="shared" si="12"/>
        <v>0</v>
      </c>
      <c r="L75" s="20"/>
      <c r="M75" s="20">
        <v>-20416.55</v>
      </c>
      <c r="N75" s="20">
        <v>0</v>
      </c>
      <c r="O75" s="20">
        <v>0</v>
      </c>
      <c r="P75" s="20"/>
      <c r="Q75" s="20">
        <f>-20416.55-219001</f>
        <v>-239417.55</v>
      </c>
      <c r="R75" s="20">
        <v>0</v>
      </c>
      <c r="S75" s="20">
        <v>0</v>
      </c>
    </row>
    <row r="76" spans="1:19" ht="15">
      <c r="A76" s="22">
        <f t="shared" si="0"/>
        <v>60</v>
      </c>
      <c r="B76" s="10" t="s">
        <v>98</v>
      </c>
      <c r="C76" s="20">
        <f t="shared" si="9"/>
        <v>0.45</v>
      </c>
      <c r="D76" s="20">
        <f t="shared" si="10"/>
        <v>-8301.55</v>
      </c>
      <c r="E76" s="20"/>
      <c r="F76" s="20"/>
      <c r="G76" s="20">
        <f t="shared" si="11"/>
        <v>-4151</v>
      </c>
      <c r="H76" s="20"/>
      <c r="I76" s="20">
        <f t="shared" si="12"/>
        <v>-4150.549999999999</v>
      </c>
      <c r="J76" s="20">
        <f t="shared" si="12"/>
        <v>0</v>
      </c>
      <c r="K76" s="20">
        <f t="shared" si="12"/>
        <v>0</v>
      </c>
      <c r="L76" s="20"/>
      <c r="M76" s="20">
        <v>0.45</v>
      </c>
      <c r="N76" s="20">
        <v>0</v>
      </c>
      <c r="O76" s="20">
        <v>0</v>
      </c>
      <c r="P76" s="20"/>
      <c r="Q76" s="20">
        <f>0.45-8302</f>
        <v>-8301.55</v>
      </c>
      <c r="R76" s="20">
        <v>0</v>
      </c>
      <c r="S76" s="20">
        <v>0</v>
      </c>
    </row>
    <row r="77" spans="1:19" ht="15">
      <c r="A77" s="22">
        <f t="shared" si="0"/>
        <v>61</v>
      </c>
      <c r="B77" s="10" t="s">
        <v>529</v>
      </c>
      <c r="C77" s="20">
        <f>SUM(M77:O77)</f>
        <v>0.45</v>
      </c>
      <c r="D77" s="20">
        <f t="shared" si="10"/>
        <v>73301</v>
      </c>
      <c r="E77" s="20"/>
      <c r="F77" s="20"/>
      <c r="G77" s="20">
        <f t="shared" si="11"/>
        <v>36651</v>
      </c>
      <c r="H77" s="20"/>
      <c r="I77" s="20">
        <f>(+M77+Q77)/2</f>
        <v>36650.725</v>
      </c>
      <c r="J77" s="20">
        <f>(+N77+R77)/2</f>
        <v>0</v>
      </c>
      <c r="K77" s="20">
        <f>(+O77+S77)/2</f>
        <v>0</v>
      </c>
      <c r="L77" s="20"/>
      <c r="M77" s="20">
        <v>0.45</v>
      </c>
      <c r="N77" s="20">
        <v>0</v>
      </c>
      <c r="O77" s="20">
        <v>0</v>
      </c>
      <c r="P77" s="20"/>
      <c r="Q77" s="20">
        <v>73301</v>
      </c>
      <c r="R77" s="20">
        <v>0</v>
      </c>
      <c r="S77" s="20">
        <v>0</v>
      </c>
    </row>
    <row r="78" spans="1:19" ht="15">
      <c r="A78" s="22">
        <f t="shared" si="0"/>
        <v>62</v>
      </c>
      <c r="B78" s="19" t="s">
        <v>417</v>
      </c>
      <c r="C78" s="20">
        <f t="shared" si="9"/>
        <v>16677496.850000001</v>
      </c>
      <c r="D78" s="20">
        <f t="shared" si="10"/>
        <v>18173905.95</v>
      </c>
      <c r="E78" s="20"/>
      <c r="F78" s="20"/>
      <c r="G78" s="20">
        <f t="shared" si="11"/>
        <v>17425701</v>
      </c>
      <c r="H78" s="20"/>
      <c r="I78" s="20">
        <f aca="true" t="shared" si="13" ref="I78:K82">(+M78+Q78)/2</f>
        <v>7725935.625</v>
      </c>
      <c r="J78" s="20">
        <f t="shared" si="13"/>
        <v>662233.775</v>
      </c>
      <c r="K78" s="20">
        <f t="shared" si="13"/>
        <v>9037532</v>
      </c>
      <c r="L78" s="20"/>
      <c r="M78" s="20">
        <v>5245325.4</v>
      </c>
      <c r="N78" s="20">
        <v>867968.15</v>
      </c>
      <c r="O78" s="20">
        <v>10564203.3</v>
      </c>
      <c r="P78" s="20"/>
      <c r="Q78" s="20">
        <f>3415639.85+6790906</f>
        <v>10206545.85</v>
      </c>
      <c r="R78" s="20">
        <v>456499.4</v>
      </c>
      <c r="S78" s="20">
        <v>7510860.7</v>
      </c>
    </row>
    <row r="79" spans="1:19" ht="15">
      <c r="A79" s="22">
        <f t="shared" si="0"/>
        <v>63</v>
      </c>
      <c r="B79" s="19" t="s">
        <v>418</v>
      </c>
      <c r="C79" s="20">
        <f t="shared" si="9"/>
        <v>-45776.5</v>
      </c>
      <c r="D79" s="20">
        <f t="shared" si="10"/>
        <v>-47289.549999999996</v>
      </c>
      <c r="E79" s="20"/>
      <c r="F79" s="20"/>
      <c r="G79" s="20">
        <f t="shared" si="11"/>
        <v>-46533</v>
      </c>
      <c r="H79" s="20"/>
      <c r="I79" s="20">
        <f t="shared" si="13"/>
        <v>-53.375</v>
      </c>
      <c r="J79" s="20">
        <f t="shared" si="13"/>
        <v>0</v>
      </c>
      <c r="K79" s="20">
        <f t="shared" si="13"/>
        <v>-46479.649999999994</v>
      </c>
      <c r="L79" s="20"/>
      <c r="M79" s="20">
        <v>-53.55</v>
      </c>
      <c r="N79" s="20">
        <v>0</v>
      </c>
      <c r="O79" s="20">
        <v>-45722.95</v>
      </c>
      <c r="P79" s="20"/>
      <c r="Q79" s="20">
        <v>-53.2</v>
      </c>
      <c r="R79" s="20">
        <v>0</v>
      </c>
      <c r="S79" s="20">
        <v>-47236.35</v>
      </c>
    </row>
    <row r="80" spans="1:19" ht="15">
      <c r="A80" s="22">
        <f t="shared" si="0"/>
        <v>64</v>
      </c>
      <c r="B80" s="19" t="s">
        <v>419</v>
      </c>
      <c r="C80" s="20">
        <f t="shared" si="9"/>
        <v>1585150.07</v>
      </c>
      <c r="D80" s="20">
        <f t="shared" si="10"/>
        <v>-3370825.04</v>
      </c>
      <c r="E80" s="20"/>
      <c r="F80" s="20"/>
      <c r="G80" s="20">
        <f t="shared" si="11"/>
        <v>-892837</v>
      </c>
      <c r="H80" s="20"/>
      <c r="I80" s="20">
        <f t="shared" si="13"/>
        <v>-499274.43000000005</v>
      </c>
      <c r="J80" s="20">
        <f t="shared" si="13"/>
        <v>-33135.534999999996</v>
      </c>
      <c r="K80" s="20">
        <f t="shared" si="13"/>
        <v>-360427.51999999996</v>
      </c>
      <c r="L80" s="20"/>
      <c r="M80" s="20">
        <v>567338.97</v>
      </c>
      <c r="N80" s="20">
        <v>104167.42</v>
      </c>
      <c r="O80" s="20">
        <v>913643.68</v>
      </c>
      <c r="P80" s="20"/>
      <c r="Q80" s="20">
        <f>-981619.83-1168536+584268</f>
        <v>-1565887.83</v>
      </c>
      <c r="R80" s="20">
        <v>-170438.49</v>
      </c>
      <c r="S80" s="20">
        <v>-1634498.72</v>
      </c>
    </row>
    <row r="81" spans="1:19" ht="15">
      <c r="A81" s="22">
        <f t="shared" si="0"/>
        <v>65</v>
      </c>
      <c r="B81" s="19" t="s">
        <v>113</v>
      </c>
      <c r="C81" s="20">
        <f>SUM(M81:O81)</f>
        <v>305500.41</v>
      </c>
      <c r="D81" s="20">
        <f t="shared" si="10"/>
        <v>305500.41</v>
      </c>
      <c r="E81" s="20"/>
      <c r="F81" s="20"/>
      <c r="G81" s="20">
        <f t="shared" si="11"/>
        <v>305500</v>
      </c>
      <c r="H81" s="20"/>
      <c r="I81" s="20">
        <f>(+M81+Q81)/2</f>
        <v>305500.41</v>
      </c>
      <c r="J81" s="20">
        <f>(+N81+R81)/2</f>
        <v>0</v>
      </c>
      <c r="K81" s="20">
        <f>(+O81+S81)/2</f>
        <v>0</v>
      </c>
      <c r="L81" s="20"/>
      <c r="M81" s="20">
        <v>305500.41</v>
      </c>
      <c r="N81" s="20">
        <v>0</v>
      </c>
      <c r="O81" s="20">
        <v>0</v>
      </c>
      <c r="P81" s="20"/>
      <c r="Q81" s="20">
        <v>305500.41</v>
      </c>
      <c r="R81" s="20">
        <v>0</v>
      </c>
      <c r="S81" s="20">
        <v>0</v>
      </c>
    </row>
    <row r="82" spans="1:19" ht="15">
      <c r="A82" s="22">
        <f t="shared" si="0"/>
        <v>66</v>
      </c>
      <c r="B82" s="19" t="s">
        <v>124</v>
      </c>
      <c r="C82" s="20">
        <f t="shared" si="9"/>
        <v>336537.95</v>
      </c>
      <c r="D82" s="20">
        <f t="shared" si="10"/>
        <v>443335.55</v>
      </c>
      <c r="E82" s="20"/>
      <c r="F82" s="20"/>
      <c r="G82" s="20">
        <f t="shared" si="11"/>
        <v>389937</v>
      </c>
      <c r="H82" s="20"/>
      <c r="I82" s="20">
        <f t="shared" si="13"/>
        <v>50604.925</v>
      </c>
      <c r="J82" s="20">
        <f t="shared" si="13"/>
        <v>17225.775</v>
      </c>
      <c r="K82" s="20">
        <f t="shared" si="13"/>
        <v>322106.05</v>
      </c>
      <c r="L82" s="20"/>
      <c r="M82" s="20">
        <v>44814.7</v>
      </c>
      <c r="N82" s="20">
        <v>-4982.25</v>
      </c>
      <c r="O82" s="20">
        <v>296705.5</v>
      </c>
      <c r="P82" s="20"/>
      <c r="Q82" s="20">
        <v>56395.15</v>
      </c>
      <c r="R82" s="20">
        <v>39433.8</v>
      </c>
      <c r="S82" s="20">
        <v>347506.6</v>
      </c>
    </row>
    <row r="83" spans="1:19" ht="15">
      <c r="A83" s="22">
        <f aca="true" t="shared" si="14" ref="A83:A117">A82+1</f>
        <v>67</v>
      </c>
      <c r="B83" s="10" t="s">
        <v>312</v>
      </c>
      <c r="C83" s="20">
        <f t="shared" si="9"/>
        <v>1811061.17</v>
      </c>
      <c r="D83" s="20">
        <f t="shared" si="10"/>
        <v>1955090.02</v>
      </c>
      <c r="E83" s="20"/>
      <c r="F83" s="20"/>
      <c r="G83" s="20">
        <f t="shared" si="11"/>
        <v>1883076</v>
      </c>
      <c r="H83" s="20"/>
      <c r="I83" s="20">
        <f t="shared" si="12"/>
        <v>555294.42</v>
      </c>
      <c r="J83" s="20">
        <f t="shared" si="12"/>
        <v>421160.56</v>
      </c>
      <c r="K83" s="20">
        <f t="shared" si="12"/>
        <v>906620.615</v>
      </c>
      <c r="L83" s="20"/>
      <c r="M83" s="20">
        <v>587676.77</v>
      </c>
      <c r="N83" s="20">
        <v>347958.06</v>
      </c>
      <c r="O83" s="20">
        <v>875426.34</v>
      </c>
      <c r="P83" s="20"/>
      <c r="Q83" s="20">
        <v>522912.07</v>
      </c>
      <c r="R83" s="20">
        <v>494363.06</v>
      </c>
      <c r="S83" s="20">
        <v>937814.89</v>
      </c>
    </row>
    <row r="84" spans="1:19" ht="15">
      <c r="A84" s="22">
        <f t="shared" si="14"/>
        <v>68</v>
      </c>
      <c r="B84" s="10" t="s">
        <v>126</v>
      </c>
      <c r="C84" s="20">
        <f t="shared" si="9"/>
        <v>234558.55</v>
      </c>
      <c r="D84" s="20">
        <f t="shared" si="10"/>
        <v>222781.53999999998</v>
      </c>
      <c r="E84" s="20"/>
      <c r="F84" s="20"/>
      <c r="G84" s="20">
        <f t="shared" si="11"/>
        <v>228670</v>
      </c>
      <c r="H84" s="20"/>
      <c r="I84" s="20">
        <f t="shared" si="12"/>
        <v>71900.205</v>
      </c>
      <c r="J84" s="20">
        <f t="shared" si="12"/>
        <v>68734.025</v>
      </c>
      <c r="K84" s="20">
        <f t="shared" si="12"/>
        <v>88035.815</v>
      </c>
      <c r="L84" s="20"/>
      <c r="M84" s="20">
        <v>78262.67</v>
      </c>
      <c r="N84" s="20">
        <v>68777.54</v>
      </c>
      <c r="O84" s="20">
        <v>87518.34</v>
      </c>
      <c r="P84" s="20"/>
      <c r="Q84" s="20">
        <v>65537.74</v>
      </c>
      <c r="R84" s="20">
        <v>68690.51</v>
      </c>
      <c r="S84" s="20">
        <v>88553.29</v>
      </c>
    </row>
    <row r="85" spans="1:19" ht="15">
      <c r="A85" s="22">
        <f t="shared" si="14"/>
        <v>69</v>
      </c>
      <c r="B85" s="10" t="s">
        <v>696</v>
      </c>
      <c r="C85" s="20">
        <f>SUM(M85:O85)</f>
        <v>0</v>
      </c>
      <c r="D85" s="20">
        <f>SUM(Q85:S85)</f>
        <v>1611940</v>
      </c>
      <c r="E85" s="20"/>
      <c r="F85" s="20"/>
      <c r="G85" s="20">
        <f>ROUND(SUM(C85:F85)/2,0)</f>
        <v>805970</v>
      </c>
      <c r="H85" s="20"/>
      <c r="I85" s="20">
        <f t="shared" si="12"/>
        <v>805970</v>
      </c>
      <c r="J85" s="20">
        <f t="shared" si="12"/>
        <v>0</v>
      </c>
      <c r="K85" s="20">
        <f t="shared" si="12"/>
        <v>0</v>
      </c>
      <c r="L85" s="20"/>
      <c r="M85" s="20">
        <v>0</v>
      </c>
      <c r="N85" s="20">
        <v>0</v>
      </c>
      <c r="O85" s="20">
        <v>0</v>
      </c>
      <c r="P85" s="20"/>
      <c r="Q85" s="20">
        <v>1611940</v>
      </c>
      <c r="R85" s="20">
        <v>0</v>
      </c>
      <c r="S85" s="20">
        <v>0</v>
      </c>
    </row>
    <row r="86" spans="1:19" ht="15">
      <c r="A86" s="22">
        <f t="shared" si="14"/>
        <v>70</v>
      </c>
      <c r="B86" s="10" t="s">
        <v>689</v>
      </c>
      <c r="C86" s="20">
        <f>SUM(M86:O86)</f>
        <v>0</v>
      </c>
      <c r="D86" s="20">
        <f>SUM(Q86:S86)</f>
        <v>833987.12</v>
      </c>
      <c r="E86" s="20"/>
      <c r="F86" s="20"/>
      <c r="G86" s="20">
        <f>ROUND(SUM(C86:F86)/2,0)</f>
        <v>416994</v>
      </c>
      <c r="H86" s="20"/>
      <c r="I86" s="20">
        <f t="shared" si="12"/>
        <v>137072.505</v>
      </c>
      <c r="J86" s="20">
        <f t="shared" si="12"/>
        <v>30477.4</v>
      </c>
      <c r="K86" s="20">
        <f t="shared" si="12"/>
        <v>249443.655</v>
      </c>
      <c r="L86" s="20"/>
      <c r="M86" s="20">
        <v>0</v>
      </c>
      <c r="N86" s="20">
        <v>0</v>
      </c>
      <c r="O86" s="20">
        <v>0</v>
      </c>
      <c r="P86" s="20">
        <v>0</v>
      </c>
      <c r="Q86" s="20">
        <v>274145.01</v>
      </c>
      <c r="R86" s="20">
        <v>60954.8</v>
      </c>
      <c r="S86" s="20">
        <v>498887.31</v>
      </c>
    </row>
    <row r="87" spans="1:19" ht="15">
      <c r="A87" s="22">
        <f t="shared" si="14"/>
        <v>71</v>
      </c>
      <c r="B87" s="10" t="s">
        <v>326</v>
      </c>
      <c r="C87" s="20">
        <f t="shared" si="9"/>
        <v>0</v>
      </c>
      <c r="D87" s="20">
        <f t="shared" si="10"/>
        <v>0</v>
      </c>
      <c r="E87" s="20"/>
      <c r="F87" s="20"/>
      <c r="G87" s="20">
        <f t="shared" si="11"/>
        <v>0</v>
      </c>
      <c r="H87" s="20"/>
      <c r="I87" s="20">
        <f t="shared" si="12"/>
        <v>0</v>
      </c>
      <c r="J87" s="20">
        <f t="shared" si="12"/>
        <v>0</v>
      </c>
      <c r="K87" s="20">
        <f t="shared" si="12"/>
        <v>0</v>
      </c>
      <c r="L87" s="20"/>
      <c r="M87" s="20">
        <v>0</v>
      </c>
      <c r="N87" s="20">
        <v>0</v>
      </c>
      <c r="O87" s="20">
        <v>0</v>
      </c>
      <c r="P87" s="20"/>
      <c r="Q87" s="20">
        <v>0</v>
      </c>
      <c r="R87" s="20">
        <v>0</v>
      </c>
      <c r="S87" s="20">
        <v>0</v>
      </c>
    </row>
    <row r="88" spans="1:19" ht="15">
      <c r="A88" s="22">
        <f t="shared" si="14"/>
        <v>72</v>
      </c>
      <c r="B88" s="10" t="s">
        <v>128</v>
      </c>
      <c r="C88" s="20">
        <f t="shared" si="9"/>
        <v>1830399.78</v>
      </c>
      <c r="D88" s="20">
        <f t="shared" si="10"/>
        <v>1585419.2</v>
      </c>
      <c r="E88" s="20"/>
      <c r="F88" s="20"/>
      <c r="G88" s="20">
        <f t="shared" si="11"/>
        <v>1707909</v>
      </c>
      <c r="H88" s="20"/>
      <c r="I88" s="20">
        <f t="shared" si="12"/>
        <v>560158.88</v>
      </c>
      <c r="J88" s="20">
        <f t="shared" si="12"/>
        <v>40735.44</v>
      </c>
      <c r="K88" s="20">
        <f t="shared" si="12"/>
        <v>1107015.17</v>
      </c>
      <c r="L88" s="20"/>
      <c r="M88" s="20">
        <v>483367.69</v>
      </c>
      <c r="N88" s="20">
        <v>46293.53</v>
      </c>
      <c r="O88" s="20">
        <v>1300738.56</v>
      </c>
      <c r="P88" s="20"/>
      <c r="Q88" s="20">
        <v>636950.07</v>
      </c>
      <c r="R88" s="20">
        <v>35177.35</v>
      </c>
      <c r="S88" s="20">
        <v>913291.78</v>
      </c>
    </row>
    <row r="89" spans="1:19" ht="15">
      <c r="A89" s="22">
        <f t="shared" si="14"/>
        <v>73</v>
      </c>
      <c r="B89" s="19" t="s">
        <v>420</v>
      </c>
      <c r="C89" s="20">
        <f>113542.1-37689.63</f>
        <v>75852.47</v>
      </c>
      <c r="D89" s="20">
        <f>83663.3+45728</f>
        <v>129391.3</v>
      </c>
      <c r="E89" s="20">
        <f aca="true" t="shared" si="15" ref="E89:F93">-C89</f>
        <v>-75852.47</v>
      </c>
      <c r="F89" s="20">
        <f t="shared" si="15"/>
        <v>-129391.3</v>
      </c>
      <c r="G89" s="20">
        <f t="shared" si="11"/>
        <v>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2">
        <f t="shared" si="14"/>
        <v>74</v>
      </c>
      <c r="B90" s="10" t="s">
        <v>130</v>
      </c>
      <c r="C90" s="20">
        <f>5461488.29+18247728.48+21320286.49</f>
        <v>45029503.26</v>
      </c>
      <c r="D90" s="20">
        <v>54460186.51</v>
      </c>
      <c r="E90" s="20">
        <f t="shared" si="15"/>
        <v>-45029503.26</v>
      </c>
      <c r="F90" s="20">
        <f t="shared" si="15"/>
        <v>-54460186.51</v>
      </c>
      <c r="G90" s="20">
        <f t="shared" si="11"/>
        <v>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2">
        <f t="shared" si="14"/>
        <v>75</v>
      </c>
      <c r="B91" s="10" t="s">
        <v>131</v>
      </c>
      <c r="C91" s="20">
        <v>0</v>
      </c>
      <c r="D91" s="20">
        <v>0</v>
      </c>
      <c r="E91" s="20">
        <f t="shared" si="15"/>
        <v>0</v>
      </c>
      <c r="F91" s="20">
        <f t="shared" si="15"/>
        <v>0</v>
      </c>
      <c r="G91" s="20">
        <f t="shared" si="11"/>
        <v>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2">
        <f t="shared" si="14"/>
        <v>76</v>
      </c>
      <c r="B92" s="10" t="s">
        <v>134</v>
      </c>
      <c r="C92" s="20">
        <v>23146</v>
      </c>
      <c r="D92" s="20">
        <v>32800.6</v>
      </c>
      <c r="E92" s="20">
        <f t="shared" si="15"/>
        <v>-23146</v>
      </c>
      <c r="F92" s="20">
        <f t="shared" si="15"/>
        <v>-32800.6</v>
      </c>
      <c r="G92" s="20">
        <f t="shared" si="11"/>
        <v>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2">
        <f t="shared" si="14"/>
        <v>77</v>
      </c>
      <c r="B93" s="19" t="s">
        <v>421</v>
      </c>
      <c r="C93" s="20">
        <v>0</v>
      </c>
      <c r="D93" s="20">
        <v>0</v>
      </c>
      <c r="E93" s="20">
        <f t="shared" si="15"/>
        <v>0</v>
      </c>
      <c r="F93" s="20">
        <f t="shared" si="15"/>
        <v>0</v>
      </c>
      <c r="G93" s="20">
        <f>ROUND(SUM(C93:F93)/2,0)</f>
        <v>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2">
        <f t="shared" si="14"/>
        <v>78</v>
      </c>
      <c r="B94" s="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.75" thickBot="1">
      <c r="A95" s="22">
        <f t="shared" si="14"/>
        <v>79</v>
      </c>
      <c r="B95" s="10"/>
      <c r="C95" s="23">
        <f>SUM(C62:C94)</f>
        <v>63662104.099999994</v>
      </c>
      <c r="D95" s="23">
        <f>SUM(D62:D94)</f>
        <v>81868809.66</v>
      </c>
      <c r="E95" s="23">
        <f>SUM(E62:E94)</f>
        <v>-45128501.73</v>
      </c>
      <c r="F95" s="23">
        <f>SUM(F62:F94)</f>
        <v>-54622378.41</v>
      </c>
      <c r="G95" s="23">
        <f>SUM(G62:G94)</f>
        <v>22890020</v>
      </c>
      <c r="H95" s="23"/>
      <c r="I95" s="23">
        <f>SUM(I62:I94)</f>
        <v>19384254.61</v>
      </c>
      <c r="J95" s="23">
        <f>SUM(J62:J94)</f>
        <v>801409.31</v>
      </c>
      <c r="K95" s="23">
        <f>SUM(K62:K94)</f>
        <v>2704352.8900000006</v>
      </c>
      <c r="L95" s="23"/>
      <c r="M95" s="23">
        <f>SUM(M62:M94)</f>
        <v>13697693.129999999</v>
      </c>
      <c r="N95" s="23">
        <f>SUM(N62:N94)</f>
        <v>851336.88</v>
      </c>
      <c r="O95" s="23">
        <f>SUM(O62:O94)</f>
        <v>3984572.3600000003</v>
      </c>
      <c r="P95" s="20"/>
      <c r="Q95" s="23">
        <f>SUM(Q62:Q94)</f>
        <v>25070816.09</v>
      </c>
      <c r="R95" s="23">
        <f>SUM(R62:R94)</f>
        <v>751481.74</v>
      </c>
      <c r="S95" s="23">
        <f>SUM(S62:S94)</f>
        <v>1424133.4200000004</v>
      </c>
    </row>
    <row r="96" spans="1:19" ht="15.75" thickTop="1">
      <c r="A96" s="22">
        <f t="shared" si="14"/>
        <v>80</v>
      </c>
      <c r="B96" s="9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0"/>
      <c r="Q96" s="24"/>
      <c r="R96" s="24"/>
      <c r="S96" s="24"/>
    </row>
    <row r="97" spans="1:19" ht="15">
      <c r="A97" s="22">
        <f t="shared" si="14"/>
        <v>81</v>
      </c>
      <c r="B97" s="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2">
        <f t="shared" si="14"/>
        <v>82</v>
      </c>
      <c r="B98" s="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9"/>
      <c r="N98" s="9"/>
      <c r="O98" s="9"/>
      <c r="P98" s="20"/>
      <c r="Q98" s="20"/>
      <c r="R98" s="20"/>
      <c r="S98" s="20"/>
    </row>
    <row r="99" spans="1:19" ht="15">
      <c r="A99" s="22">
        <f t="shared" si="14"/>
        <v>83</v>
      </c>
      <c r="B99" s="19" t="s">
        <v>135</v>
      </c>
      <c r="C99" s="20">
        <f>SUM(M99:O99)</f>
        <v>0</v>
      </c>
      <c r="D99" s="20">
        <f>SUM(Q99:S99)</f>
        <v>11104354</v>
      </c>
      <c r="E99" s="20"/>
      <c r="F99" s="20"/>
      <c r="G99" s="20">
        <f>ROUND(SUM(C99:F99)/2,0)</f>
        <v>5552177</v>
      </c>
      <c r="H99" s="20"/>
      <c r="I99" s="20">
        <f>(+M99+Q99)/2</f>
        <v>5552177</v>
      </c>
      <c r="J99" s="20">
        <f>(+N99+R99)/2</f>
        <v>0</v>
      </c>
      <c r="K99" s="20">
        <f>(+O99+S99)/2</f>
        <v>0</v>
      </c>
      <c r="L99" s="20"/>
      <c r="M99" s="20">
        <v>0</v>
      </c>
      <c r="N99" s="20">
        <v>0</v>
      </c>
      <c r="O99" s="20">
        <v>0</v>
      </c>
      <c r="P99" s="20"/>
      <c r="Q99" s="20">
        <f>4723865+6380489</f>
        <v>11104354</v>
      </c>
      <c r="R99" s="20">
        <v>0</v>
      </c>
      <c r="S99" s="20">
        <v>0</v>
      </c>
    </row>
    <row r="100" spans="1:19" ht="15">
      <c r="A100" s="22">
        <f t="shared" si="14"/>
        <v>84</v>
      </c>
      <c r="B100" s="19" t="s">
        <v>422</v>
      </c>
      <c r="C100" s="20">
        <f>11928983.45+13702455.82+16713251.8</f>
        <v>42344691.07</v>
      </c>
      <c r="D100" s="20">
        <f>44009252.07+25330135</f>
        <v>69339387.07</v>
      </c>
      <c r="E100" s="20">
        <f>-C100</f>
        <v>-42344691.07</v>
      </c>
      <c r="F100" s="20">
        <f>-D100</f>
        <v>-69339387.07</v>
      </c>
      <c r="G100" s="20">
        <f>ROUND(SUM(C100:F100)/2,0)</f>
        <v>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2">
        <f t="shared" si="14"/>
        <v>85</v>
      </c>
      <c r="B101" s="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56"/>
      <c r="N101" s="56"/>
      <c r="O101" s="20"/>
      <c r="P101" s="20"/>
      <c r="Q101" s="56"/>
      <c r="R101" s="56"/>
      <c r="S101" s="20"/>
    </row>
    <row r="102" spans="1:19" ht="15.75" thickBot="1">
      <c r="A102" s="22">
        <f t="shared" si="14"/>
        <v>86</v>
      </c>
      <c r="B102" s="10" t="s">
        <v>137</v>
      </c>
      <c r="C102" s="23">
        <f>SUM(C95:C101)</f>
        <v>106006795.16999999</v>
      </c>
      <c r="D102" s="23">
        <f>SUM(D95:D101)</f>
        <v>162312550.73</v>
      </c>
      <c r="E102" s="23">
        <f>SUM(E95:E101)</f>
        <v>-87473192.8</v>
      </c>
      <c r="F102" s="23">
        <f>SUM(F95:F101)</f>
        <v>-123961765.47999999</v>
      </c>
      <c r="G102" s="23">
        <f>SUM(G95:G101)</f>
        <v>28442197</v>
      </c>
      <c r="H102" s="23"/>
      <c r="I102" s="23">
        <f>SUM(I95:I101)</f>
        <v>24936431.61</v>
      </c>
      <c r="J102" s="23">
        <f>SUM(J95:J101)</f>
        <v>801409.31</v>
      </c>
      <c r="K102" s="23">
        <f>SUM(K95:K101)</f>
        <v>2704352.8900000006</v>
      </c>
      <c r="L102" s="20"/>
      <c r="M102" s="57">
        <f>SUM(M95:M101)</f>
        <v>13697693.129999999</v>
      </c>
      <c r="N102" s="57">
        <f>SUM(N95:N101)</f>
        <v>851336.88</v>
      </c>
      <c r="O102" s="58">
        <f>SUM(O95:O101)</f>
        <v>3984572.3600000003</v>
      </c>
      <c r="P102" s="20"/>
      <c r="Q102" s="57">
        <f>SUM(Q95:Q101)</f>
        <v>36175170.09</v>
      </c>
      <c r="R102" s="57">
        <f>SUM(R95:R101)</f>
        <v>751481.74</v>
      </c>
      <c r="S102" s="58">
        <f>SUM(S95:S101)</f>
        <v>1424133.4200000004</v>
      </c>
    </row>
    <row r="103" spans="1:19" ht="15.75" thickTop="1">
      <c r="A103" s="22">
        <f t="shared" si="14"/>
        <v>87</v>
      </c>
      <c r="B103" s="9"/>
      <c r="C103" s="24"/>
      <c r="D103" s="24"/>
      <c r="E103" s="24"/>
      <c r="F103" s="24"/>
      <c r="G103" s="24"/>
      <c r="H103" s="24"/>
      <c r="I103" s="24"/>
      <c r="J103" s="24"/>
      <c r="K103" s="24"/>
      <c r="L103" s="20"/>
      <c r="M103" s="9"/>
      <c r="N103" s="9"/>
      <c r="O103" s="9"/>
      <c r="P103" s="20"/>
      <c r="Q103" s="20"/>
      <c r="R103" s="20"/>
      <c r="S103" s="20"/>
    </row>
    <row r="104" spans="1:19" ht="15">
      <c r="A104" s="22">
        <f t="shared" si="14"/>
        <v>88</v>
      </c>
      <c r="B104" s="9"/>
      <c r="C104" s="20"/>
      <c r="D104" s="41"/>
      <c r="E104" s="20"/>
      <c r="F104" s="20"/>
      <c r="G104" s="20"/>
      <c r="H104" s="20"/>
      <c r="I104" s="20"/>
      <c r="J104" s="20"/>
      <c r="K104" s="20"/>
      <c r="L104" s="20"/>
      <c r="M104" s="9"/>
      <c r="N104" s="9"/>
      <c r="O104" s="9"/>
      <c r="P104" s="20"/>
      <c r="Q104" s="20"/>
      <c r="R104" s="20"/>
      <c r="S104" s="20"/>
    </row>
    <row r="105" spans="1:19" ht="15">
      <c r="A105" s="22">
        <f t="shared" si="14"/>
        <v>89</v>
      </c>
      <c r="B105" s="10" t="s">
        <v>138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9"/>
      <c r="N105" s="9"/>
      <c r="O105" s="9"/>
      <c r="P105" s="20"/>
      <c r="Q105" s="20"/>
      <c r="R105" s="20"/>
      <c r="S105" s="20"/>
    </row>
    <row r="106" spans="1:19" ht="15">
      <c r="A106" s="22">
        <f t="shared" si="14"/>
        <v>90</v>
      </c>
      <c r="B106" s="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9"/>
      <c r="N106" s="9"/>
      <c r="O106" s="9"/>
      <c r="P106" s="20"/>
      <c r="Q106" s="20"/>
      <c r="R106" s="20"/>
      <c r="S106" s="20"/>
    </row>
    <row r="107" spans="1:19" ht="15">
      <c r="A107" s="22">
        <f t="shared" si="14"/>
        <v>91</v>
      </c>
      <c r="B107" s="10" t="s">
        <v>139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2">
        <f t="shared" si="14"/>
        <v>92</v>
      </c>
      <c r="B108" s="9"/>
      <c r="C108" s="20"/>
      <c r="D108" s="27"/>
      <c r="E108" s="27"/>
      <c r="F108" s="27"/>
      <c r="G108" s="27"/>
      <c r="H108" s="27"/>
      <c r="I108" s="27"/>
      <c r="J108" s="27"/>
      <c r="K108" s="27"/>
      <c r="L108" s="27"/>
      <c r="M108" s="20"/>
      <c r="N108" s="20"/>
      <c r="O108" s="20"/>
      <c r="P108" s="20"/>
      <c r="Q108" s="20"/>
      <c r="R108" s="20"/>
      <c r="S108" s="20"/>
    </row>
    <row r="109" spans="1:19" ht="15">
      <c r="A109" s="22">
        <f t="shared" si="14"/>
        <v>93</v>
      </c>
      <c r="B109" s="10" t="s">
        <v>140</v>
      </c>
      <c r="C109" s="20"/>
      <c r="D109" s="27"/>
      <c r="E109" s="27"/>
      <c r="F109" s="27"/>
      <c r="G109" s="27"/>
      <c r="H109" s="27"/>
      <c r="I109" s="27"/>
      <c r="J109" s="27"/>
      <c r="K109" s="27"/>
      <c r="L109" s="27"/>
      <c r="M109" s="20"/>
      <c r="N109" s="20"/>
      <c r="O109" s="20"/>
      <c r="P109" s="20"/>
      <c r="Q109" s="20"/>
      <c r="R109" s="20"/>
      <c r="S109" s="20"/>
    </row>
    <row r="110" spans="1:19" ht="15">
      <c r="A110" s="22">
        <f t="shared" si="14"/>
        <v>94</v>
      </c>
      <c r="B110" s="1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2">
        <f t="shared" si="14"/>
        <v>95</v>
      </c>
      <c r="B111" s="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2">
        <f t="shared" si="14"/>
        <v>96</v>
      </c>
      <c r="B112" s="19" t="s">
        <v>141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2">
        <f t="shared" si="14"/>
        <v>97</v>
      </c>
      <c r="B113" s="19" t="s">
        <v>142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2">
        <f t="shared" si="14"/>
        <v>98</v>
      </c>
      <c r="B114" s="10" t="s">
        <v>329</v>
      </c>
      <c r="C114" s="20">
        <f>SUM(M114:O114)</f>
        <v>0</v>
      </c>
      <c r="D114" s="20">
        <f>SUM(Q114:S114)</f>
        <v>0</v>
      </c>
      <c r="E114" s="20"/>
      <c r="F114" s="20"/>
      <c r="G114" s="20">
        <f>ROUND(SUM(C114:F114)/2,0)</f>
        <v>0</v>
      </c>
      <c r="H114" s="20"/>
      <c r="I114" s="20">
        <f>(+M114+Q114)/2</f>
        <v>0</v>
      </c>
      <c r="J114" s="20">
        <f>(+N114+R114)/2</f>
        <v>0</v>
      </c>
      <c r="K114" s="20">
        <f>(+O114+S114)/2</f>
        <v>0</v>
      </c>
      <c r="L114" s="20"/>
      <c r="M114" s="20">
        <v>0</v>
      </c>
      <c r="N114" s="20">
        <v>0</v>
      </c>
      <c r="O114" s="20">
        <v>0</v>
      </c>
      <c r="P114" s="20"/>
      <c r="Q114" s="20">
        <v>0</v>
      </c>
      <c r="R114" s="20">
        <v>0</v>
      </c>
      <c r="S114" s="20">
        <v>0</v>
      </c>
    </row>
    <row r="115" spans="1:19" ht="15">
      <c r="A115" s="22">
        <f t="shared" si="14"/>
        <v>99</v>
      </c>
      <c r="B115" s="1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2">
        <f t="shared" si="14"/>
        <v>100</v>
      </c>
      <c r="B116" s="1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.75" thickBot="1">
      <c r="A117" s="22">
        <f t="shared" si="14"/>
        <v>101</v>
      </c>
      <c r="B117" s="19" t="s">
        <v>145</v>
      </c>
      <c r="C117" s="23">
        <f>SUM(C114:C116)</f>
        <v>0</v>
      </c>
      <c r="D117" s="23">
        <f>SUM(D114:D116)</f>
        <v>0</v>
      </c>
      <c r="E117" s="23">
        <f>SUM(E114:E116)</f>
        <v>0</v>
      </c>
      <c r="F117" s="23">
        <f>SUM(F114:F116)</f>
        <v>0</v>
      </c>
      <c r="G117" s="23">
        <f>SUM(G114:G116)</f>
        <v>0</v>
      </c>
      <c r="H117" s="23"/>
      <c r="I117" s="23">
        <f>SUM(I114:I116)</f>
        <v>0</v>
      </c>
      <c r="J117" s="23">
        <f>SUM(J114:J116)</f>
        <v>0</v>
      </c>
      <c r="K117" s="23">
        <f>SUM(K114:K116)</f>
        <v>0</v>
      </c>
      <c r="L117" s="23"/>
      <c r="M117" s="23">
        <f>SUM(M114:M116)</f>
        <v>0</v>
      </c>
      <c r="N117" s="23">
        <f>SUM(N114:N116)</f>
        <v>0</v>
      </c>
      <c r="O117" s="23">
        <f>SUM(O114:O116)</f>
        <v>0</v>
      </c>
      <c r="P117" s="20"/>
      <c r="Q117" s="23">
        <f>SUM(Q114:Q116)</f>
        <v>0</v>
      </c>
      <c r="R117" s="23">
        <f>SUM(R114:R116)</f>
        <v>0</v>
      </c>
      <c r="S117" s="23">
        <f>SUM(S114:S116)</f>
        <v>0</v>
      </c>
    </row>
    <row r="118" spans="1:19" ht="15.75" thickTop="1">
      <c r="A118" s="22"/>
      <c r="B118" s="9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0"/>
      <c r="Q118" s="24"/>
      <c r="R118" s="24"/>
      <c r="S118" s="24"/>
    </row>
    <row r="119" spans="1:19" ht="15">
      <c r="A119" s="22"/>
      <c r="B119" s="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colBreaks count="2" manualBreakCount="2">
    <brk id="11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86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2" sqref="A22"/>
    </sheetView>
  </sheetViews>
  <sheetFormatPr defaultColWidth="12.7109375" defaultRowHeight="15"/>
  <cols>
    <col min="1" max="1" width="5.8515625" style="3" customWidth="1"/>
    <col min="2" max="2" width="55.140625" style="1" bestFit="1" customWidth="1"/>
    <col min="3" max="4" width="15.7109375" style="1" customWidth="1"/>
    <col min="5" max="7" width="15.7109375" style="1" hidden="1" customWidth="1"/>
    <col min="8" max="8" width="3.140625" style="1" hidden="1" customWidth="1"/>
    <col min="9" max="11" width="15.7109375" style="1" hidden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1:19" ht="15">
      <c r="A1" s="7"/>
      <c r="B1" s="8" t="s">
        <v>399</v>
      </c>
      <c r="C1" s="9"/>
      <c r="D1" s="9"/>
      <c r="E1" s="9"/>
      <c r="F1" s="9"/>
      <c r="G1" s="19"/>
      <c r="H1" s="19"/>
      <c r="I1" s="19"/>
      <c r="J1" s="19"/>
      <c r="K1" s="19"/>
      <c r="L1" s="19"/>
      <c r="M1" s="9"/>
      <c r="N1" s="9"/>
      <c r="O1" s="9"/>
      <c r="P1" s="9"/>
      <c r="Q1" s="9"/>
      <c r="R1" s="9"/>
      <c r="S1" s="9"/>
    </row>
    <row r="2" spans="1:19" ht="15">
      <c r="A2" s="7"/>
      <c r="B2" s="8" t="s">
        <v>146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</row>
    <row r="3" spans="1:19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7"/>
      <c r="B4" s="2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7"/>
      <c r="B6" s="9"/>
      <c r="C6" s="9"/>
      <c r="D6" s="9"/>
      <c r="E6" s="9"/>
      <c r="F6" s="9"/>
      <c r="G6" s="11" t="s">
        <v>147</v>
      </c>
      <c r="H6" s="11"/>
      <c r="I6" s="11"/>
      <c r="J6" s="11"/>
      <c r="K6" s="11"/>
      <c r="L6" s="11"/>
      <c r="M6" s="9"/>
      <c r="N6" s="9"/>
      <c r="O6" s="9"/>
      <c r="P6" s="9"/>
      <c r="Q6" s="9"/>
      <c r="R6" s="9"/>
      <c r="S6" s="9"/>
    </row>
    <row r="7" spans="1:19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</row>
    <row r="9" spans="1:19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37" t="s">
        <v>22</v>
      </c>
      <c r="N10" s="14"/>
      <c r="O10" s="14"/>
      <c r="P10" s="9"/>
      <c r="Q10" s="37" t="s">
        <v>659</v>
      </c>
      <c r="R10" s="14"/>
      <c r="S10" s="14"/>
    </row>
    <row r="11" spans="1:19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</row>
    <row r="12" spans="1:19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</row>
    <row r="13" spans="1:19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39"/>
      <c r="B15" s="25" t="s">
        <v>148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>
      <c r="A16" s="3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>
      <c r="A17" s="40">
        <v>1</v>
      </c>
      <c r="B17" s="20" t="s">
        <v>330</v>
      </c>
      <c r="C17" s="20">
        <f>SUM(M17:O17)</f>
        <v>146989.05</v>
      </c>
      <c r="D17" s="20">
        <f>SUM(Q17:S17)</f>
        <v>217928</v>
      </c>
      <c r="E17" s="20"/>
      <c r="F17" s="20"/>
      <c r="G17" s="20">
        <f aca="true" t="shared" si="0" ref="G17:G75">ROUND(SUM(C17:F17)/2,0)</f>
        <v>182459</v>
      </c>
      <c r="H17" s="20"/>
      <c r="I17" s="20">
        <f>(+M17+Q17)/2</f>
        <v>141778.22</v>
      </c>
      <c r="J17" s="20">
        <f>(+N17+R17)/2</f>
        <v>0</v>
      </c>
      <c r="K17" s="20">
        <f>(+O17+S17)/2</f>
        <v>40680.305</v>
      </c>
      <c r="L17" s="20"/>
      <c r="M17" s="20">
        <v>108286.44</v>
      </c>
      <c r="N17" s="20">
        <v>0</v>
      </c>
      <c r="O17" s="20">
        <v>38702.61</v>
      </c>
      <c r="P17" s="20"/>
      <c r="Q17" s="20">
        <v>175270</v>
      </c>
      <c r="R17" s="20">
        <v>0</v>
      </c>
      <c r="S17" s="20">
        <v>42658</v>
      </c>
    </row>
    <row r="18" spans="1:19" ht="15">
      <c r="A18" s="40">
        <f aca="true" t="shared" si="1" ref="A18:A81">A17+1</f>
        <v>2</v>
      </c>
      <c r="B18" s="20" t="s">
        <v>150</v>
      </c>
      <c r="C18" s="20">
        <f aca="true" t="shared" si="2" ref="C18:C75">SUM(M18:O18)</f>
        <v>6454725.02</v>
      </c>
      <c r="D18" s="20">
        <f aca="true" t="shared" si="3" ref="D18:D75">SUM(Q18:S18)</f>
        <v>6753193.77</v>
      </c>
      <c r="E18" s="20"/>
      <c r="F18" s="20"/>
      <c r="G18" s="20">
        <f t="shared" si="0"/>
        <v>6603959</v>
      </c>
      <c r="H18" s="20"/>
      <c r="I18" s="20">
        <f aca="true" t="shared" si="4" ref="I18:K75">(+M18+Q18)/2</f>
        <v>3099723.2800000003</v>
      </c>
      <c r="J18" s="20">
        <f t="shared" si="4"/>
        <v>1992553.39</v>
      </c>
      <c r="K18" s="20">
        <f t="shared" si="4"/>
        <v>1511682.725</v>
      </c>
      <c r="L18" s="20"/>
      <c r="M18" s="20">
        <f>4604762.53-1423135.25</f>
        <v>3181627.2800000003</v>
      </c>
      <c r="N18" s="20">
        <f>2650784.41-841654.1</f>
        <v>1809130.31</v>
      </c>
      <c r="O18" s="20">
        <f>2383408.02-919440.59</f>
        <v>1463967.4300000002</v>
      </c>
      <c r="P18" s="20"/>
      <c r="Q18" s="20">
        <f>4592991.9-1575172.62</f>
        <v>3017819.2800000003</v>
      </c>
      <c r="R18" s="20">
        <f>3109363.44-933386.97</f>
        <v>2175976.4699999997</v>
      </c>
      <c r="S18" s="20">
        <f>2559900.61-1000502.59</f>
        <v>1559398.02</v>
      </c>
    </row>
    <row r="19" spans="1:19" ht="15">
      <c r="A19" s="40">
        <f t="shared" si="1"/>
        <v>3</v>
      </c>
      <c r="B19" s="20" t="s">
        <v>334</v>
      </c>
      <c r="C19" s="20">
        <f t="shared" si="2"/>
        <v>2181725.39</v>
      </c>
      <c r="D19" s="20">
        <f t="shared" si="3"/>
        <v>1946589.96</v>
      </c>
      <c r="E19" s="20"/>
      <c r="F19" s="20"/>
      <c r="G19" s="20">
        <f t="shared" si="0"/>
        <v>2064158</v>
      </c>
      <c r="H19" s="20"/>
      <c r="I19" s="20">
        <f t="shared" si="4"/>
        <v>186305</v>
      </c>
      <c r="J19" s="20">
        <f t="shared" si="4"/>
        <v>141251.315</v>
      </c>
      <c r="K19" s="20">
        <f t="shared" si="4"/>
        <v>1736601.3599999999</v>
      </c>
      <c r="L19" s="20"/>
      <c r="M19" s="20">
        <v>194218.5</v>
      </c>
      <c r="N19" s="20">
        <v>170853.92</v>
      </c>
      <c r="O19" s="20">
        <v>1816652.97</v>
      </c>
      <c r="P19" s="20"/>
      <c r="Q19" s="20">
        <v>178391.5</v>
      </c>
      <c r="R19" s="20">
        <v>111648.71</v>
      </c>
      <c r="S19" s="20">
        <v>1656549.75</v>
      </c>
    </row>
    <row r="20" spans="1:19" ht="15">
      <c r="A20" s="40">
        <f t="shared" si="1"/>
        <v>4</v>
      </c>
      <c r="B20" s="20" t="s">
        <v>335</v>
      </c>
      <c r="C20" s="20">
        <f t="shared" si="2"/>
        <v>-34766.83</v>
      </c>
      <c r="D20" s="20">
        <f t="shared" si="3"/>
        <v>-29937.68</v>
      </c>
      <c r="E20" s="20"/>
      <c r="F20" s="20"/>
      <c r="G20" s="20">
        <f t="shared" si="0"/>
        <v>-32352</v>
      </c>
      <c r="H20" s="20"/>
      <c r="I20" s="20">
        <f t="shared" si="4"/>
        <v>0</v>
      </c>
      <c r="J20" s="20">
        <f t="shared" si="4"/>
        <v>0</v>
      </c>
      <c r="K20" s="20">
        <f t="shared" si="4"/>
        <v>-32352.255</v>
      </c>
      <c r="L20" s="20"/>
      <c r="M20" s="20">
        <v>0</v>
      </c>
      <c r="N20" s="9">
        <v>0</v>
      </c>
      <c r="O20" s="20">
        <v>-34766.83</v>
      </c>
      <c r="P20" s="20"/>
      <c r="Q20" s="20">
        <v>0</v>
      </c>
      <c r="R20" s="20">
        <v>0</v>
      </c>
      <c r="S20" s="20">
        <v>-29937.68</v>
      </c>
    </row>
    <row r="21" spans="1:19" ht="15">
      <c r="A21" s="40">
        <f t="shared" si="1"/>
        <v>5</v>
      </c>
      <c r="B21" s="4" t="s">
        <v>423</v>
      </c>
      <c r="C21" s="20">
        <f t="shared" si="2"/>
        <v>2000446.44</v>
      </c>
      <c r="D21" s="20">
        <f t="shared" si="3"/>
        <v>1223850.37</v>
      </c>
      <c r="E21" s="20"/>
      <c r="F21" s="20"/>
      <c r="G21" s="20">
        <f t="shared" si="0"/>
        <v>1612148</v>
      </c>
      <c r="H21" s="20"/>
      <c r="I21" s="20">
        <f t="shared" si="4"/>
        <v>1612148.405</v>
      </c>
      <c r="J21" s="20">
        <f t="shared" si="4"/>
        <v>0</v>
      </c>
      <c r="K21" s="20">
        <f t="shared" si="4"/>
        <v>0</v>
      </c>
      <c r="L21" s="20"/>
      <c r="M21" s="20">
        <v>2000446.44</v>
      </c>
      <c r="N21" s="9">
        <v>0</v>
      </c>
      <c r="O21" s="9">
        <v>0</v>
      </c>
      <c r="P21" s="20"/>
      <c r="Q21" s="20">
        <v>1223850.37</v>
      </c>
      <c r="R21" s="20">
        <v>0</v>
      </c>
      <c r="S21" s="20">
        <v>0</v>
      </c>
    </row>
    <row r="22" spans="1:19" ht="15">
      <c r="A22" s="40">
        <f t="shared" si="1"/>
        <v>6</v>
      </c>
      <c r="B22" s="4" t="s">
        <v>424</v>
      </c>
      <c r="C22" s="20">
        <f t="shared" si="2"/>
        <v>299852.1</v>
      </c>
      <c r="D22" s="20">
        <f t="shared" si="3"/>
        <v>457247.8</v>
      </c>
      <c r="E22" s="20"/>
      <c r="F22" s="20"/>
      <c r="G22" s="20">
        <f t="shared" si="0"/>
        <v>378550</v>
      </c>
      <c r="H22" s="20"/>
      <c r="I22" s="20">
        <f t="shared" si="4"/>
        <v>378549.94999999995</v>
      </c>
      <c r="J22" s="20">
        <f t="shared" si="4"/>
        <v>0</v>
      </c>
      <c r="K22" s="20">
        <f t="shared" si="4"/>
        <v>0</v>
      </c>
      <c r="L22" s="20"/>
      <c r="M22" s="20">
        <v>299852.1</v>
      </c>
      <c r="N22" s="9">
        <v>0</v>
      </c>
      <c r="O22" s="9">
        <v>0</v>
      </c>
      <c r="P22" s="20"/>
      <c r="Q22" s="20">
        <v>457247.8</v>
      </c>
      <c r="R22" s="20">
        <v>0</v>
      </c>
      <c r="S22" s="20">
        <v>0</v>
      </c>
    </row>
    <row r="23" spans="1:19" ht="15">
      <c r="A23" s="40">
        <f t="shared" si="1"/>
        <v>7</v>
      </c>
      <c r="B23" s="4" t="s">
        <v>425</v>
      </c>
      <c r="C23" s="20">
        <f t="shared" si="2"/>
        <v>4810008.65</v>
      </c>
      <c r="D23" s="20">
        <f t="shared" si="3"/>
        <v>2867535.6</v>
      </c>
      <c r="E23" s="20"/>
      <c r="F23" s="20"/>
      <c r="G23" s="20">
        <f t="shared" si="0"/>
        <v>3838772</v>
      </c>
      <c r="H23" s="20"/>
      <c r="I23" s="20">
        <f t="shared" si="4"/>
        <v>3838772.125</v>
      </c>
      <c r="J23" s="20">
        <f t="shared" si="4"/>
        <v>0</v>
      </c>
      <c r="K23" s="20">
        <f t="shared" si="4"/>
        <v>0</v>
      </c>
      <c r="L23" s="20"/>
      <c r="M23" s="20">
        <v>4810008.65</v>
      </c>
      <c r="N23" s="9">
        <v>0</v>
      </c>
      <c r="O23" s="9">
        <v>0</v>
      </c>
      <c r="P23" s="20"/>
      <c r="Q23" s="20">
        <v>2867535.6</v>
      </c>
      <c r="R23" s="20">
        <v>0</v>
      </c>
      <c r="S23" s="20">
        <v>0</v>
      </c>
    </row>
    <row r="24" spans="1:19" ht="15">
      <c r="A24" s="40">
        <f t="shared" si="1"/>
        <v>8</v>
      </c>
      <c r="B24" s="25" t="s">
        <v>426</v>
      </c>
      <c r="C24" s="20">
        <f t="shared" si="2"/>
        <v>1134491.8900000001</v>
      </c>
      <c r="D24" s="20">
        <f t="shared" si="3"/>
        <v>287254.2</v>
      </c>
      <c r="E24" s="20"/>
      <c r="F24" s="20"/>
      <c r="G24" s="20">
        <f t="shared" si="0"/>
        <v>710873</v>
      </c>
      <c r="H24" s="20"/>
      <c r="I24" s="20">
        <f t="shared" si="4"/>
        <v>-147427.91</v>
      </c>
      <c r="J24" s="20">
        <f t="shared" si="4"/>
        <v>572100.7050000001</v>
      </c>
      <c r="K24" s="20">
        <f t="shared" si="4"/>
        <v>286200.25</v>
      </c>
      <c r="L24" s="20"/>
      <c r="M24" s="20">
        <v>-190251.38</v>
      </c>
      <c r="N24" s="20">
        <v>752342.77</v>
      </c>
      <c r="O24" s="20">
        <v>572400.5</v>
      </c>
      <c r="P24" s="20"/>
      <c r="Q24" s="20">
        <v>-104604.44</v>
      </c>
      <c r="R24" s="20">
        <v>391858.64</v>
      </c>
      <c r="S24" s="20">
        <v>0</v>
      </c>
    </row>
    <row r="25" spans="1:19" ht="15">
      <c r="A25" s="40">
        <f t="shared" si="1"/>
        <v>9</v>
      </c>
      <c r="B25" s="20" t="s">
        <v>427</v>
      </c>
      <c r="C25" s="20">
        <f t="shared" si="2"/>
        <v>0</v>
      </c>
      <c r="D25" s="20">
        <f t="shared" si="3"/>
        <v>0</v>
      </c>
      <c r="E25" s="20"/>
      <c r="F25" s="20"/>
      <c r="G25" s="20">
        <f t="shared" si="0"/>
        <v>0</v>
      </c>
      <c r="H25" s="20"/>
      <c r="I25" s="20">
        <f t="shared" si="4"/>
        <v>0</v>
      </c>
      <c r="J25" s="20">
        <f t="shared" si="4"/>
        <v>0</v>
      </c>
      <c r="K25" s="20">
        <f t="shared" si="4"/>
        <v>0</v>
      </c>
      <c r="L25" s="20"/>
      <c r="M25" s="20"/>
      <c r="N25" s="9">
        <v>0</v>
      </c>
      <c r="O25" s="9">
        <v>0</v>
      </c>
      <c r="P25" s="20"/>
      <c r="Q25" s="20">
        <v>0</v>
      </c>
      <c r="R25" s="20">
        <v>0</v>
      </c>
      <c r="S25" s="20">
        <v>0</v>
      </c>
    </row>
    <row r="26" spans="1:19" ht="15">
      <c r="A26" s="40">
        <f t="shared" si="1"/>
        <v>10</v>
      </c>
      <c r="B26" s="25" t="s">
        <v>161</v>
      </c>
      <c r="C26" s="20">
        <f t="shared" si="2"/>
        <v>-323391.25</v>
      </c>
      <c r="D26" s="20">
        <f t="shared" si="3"/>
        <v>-586726.35</v>
      </c>
      <c r="E26" s="20"/>
      <c r="F26" s="20"/>
      <c r="G26" s="20">
        <f t="shared" si="0"/>
        <v>-455059</v>
      </c>
      <c r="H26" s="20"/>
      <c r="I26" s="20">
        <f t="shared" si="4"/>
        <v>-455058.8</v>
      </c>
      <c r="J26" s="20">
        <f t="shared" si="4"/>
        <v>0</v>
      </c>
      <c r="K26" s="20">
        <f t="shared" si="4"/>
        <v>0</v>
      </c>
      <c r="L26" s="20"/>
      <c r="M26" s="20">
        <v>-323391.25</v>
      </c>
      <c r="N26" s="9">
        <v>0</v>
      </c>
      <c r="O26" s="9">
        <v>0</v>
      </c>
      <c r="P26" s="20"/>
      <c r="Q26" s="20">
        <v>-586726.35</v>
      </c>
      <c r="R26" s="20">
        <v>0</v>
      </c>
      <c r="S26" s="20">
        <v>0</v>
      </c>
    </row>
    <row r="27" spans="1:19" ht="15">
      <c r="A27" s="40">
        <f t="shared" si="1"/>
        <v>11</v>
      </c>
      <c r="B27" s="25" t="s">
        <v>162</v>
      </c>
      <c r="C27" s="20">
        <f t="shared" si="2"/>
        <v>459053.08</v>
      </c>
      <c r="D27" s="20">
        <f t="shared" si="3"/>
        <v>706432.36</v>
      </c>
      <c r="E27" s="20"/>
      <c r="F27" s="20"/>
      <c r="G27" s="20">
        <f t="shared" si="0"/>
        <v>582743</v>
      </c>
      <c r="H27" s="20"/>
      <c r="I27" s="20">
        <f t="shared" si="4"/>
        <v>161523.66</v>
      </c>
      <c r="J27" s="20">
        <f t="shared" si="4"/>
        <v>32222.155</v>
      </c>
      <c r="K27" s="20">
        <f t="shared" si="4"/>
        <v>388996.905</v>
      </c>
      <c r="L27" s="20"/>
      <c r="M27" s="20">
        <v>57017.14</v>
      </c>
      <c r="N27" s="20">
        <v>28131.6</v>
      </c>
      <c r="O27" s="20">
        <v>373904.34</v>
      </c>
      <c r="P27" s="20"/>
      <c r="Q27" s="20">
        <f>53381.18+212649</f>
        <v>266030.18</v>
      </c>
      <c r="R27" s="20">
        <v>36312.71</v>
      </c>
      <c r="S27" s="20">
        <v>404089.47</v>
      </c>
    </row>
    <row r="28" spans="1:19" ht="15">
      <c r="A28" s="40">
        <f t="shared" si="1"/>
        <v>12</v>
      </c>
      <c r="B28" s="20" t="s">
        <v>88</v>
      </c>
      <c r="C28" s="20">
        <f t="shared" si="2"/>
        <v>-7867069.08</v>
      </c>
      <c r="D28" s="20">
        <f t="shared" si="3"/>
        <v>-6799942.859999999</v>
      </c>
      <c r="E28" s="20"/>
      <c r="F28" s="20"/>
      <c r="G28" s="20">
        <f t="shared" si="0"/>
        <v>-7333506</v>
      </c>
      <c r="H28" s="20"/>
      <c r="I28" s="20">
        <f t="shared" si="4"/>
        <v>-2368313.63</v>
      </c>
      <c r="J28" s="20">
        <f t="shared" si="4"/>
        <v>-251891.13</v>
      </c>
      <c r="K28" s="20">
        <f t="shared" si="4"/>
        <v>-4713301.21</v>
      </c>
      <c r="L28" s="20"/>
      <c r="M28" s="20">
        <v>-2574332.15</v>
      </c>
      <c r="N28" s="20">
        <v>-274046.17</v>
      </c>
      <c r="O28" s="20">
        <v>-5018690.76</v>
      </c>
      <c r="P28" s="20"/>
      <c r="Q28" s="20">
        <v>-2162295.11</v>
      </c>
      <c r="R28" s="20">
        <v>-229736.09</v>
      </c>
      <c r="S28" s="20">
        <v>-4407911.66</v>
      </c>
    </row>
    <row r="29" spans="1:19" ht="15">
      <c r="A29" s="40">
        <f t="shared" si="1"/>
        <v>13</v>
      </c>
      <c r="B29" s="25" t="s">
        <v>343</v>
      </c>
      <c r="C29" s="20">
        <f t="shared" si="2"/>
        <v>45930.04</v>
      </c>
      <c r="D29" s="20">
        <f t="shared" si="3"/>
        <v>47293.28</v>
      </c>
      <c r="E29" s="20"/>
      <c r="F29" s="20"/>
      <c r="G29" s="20">
        <f t="shared" si="0"/>
        <v>46612</v>
      </c>
      <c r="H29" s="20"/>
      <c r="I29" s="20">
        <f t="shared" si="4"/>
        <v>53.36</v>
      </c>
      <c r="J29" s="20">
        <f t="shared" si="4"/>
        <v>0</v>
      </c>
      <c r="K29" s="20">
        <f t="shared" si="4"/>
        <v>46558.3</v>
      </c>
      <c r="L29" s="20"/>
      <c r="M29" s="20">
        <v>53.36</v>
      </c>
      <c r="N29" s="9">
        <v>0</v>
      </c>
      <c r="O29" s="20">
        <v>45876.68</v>
      </c>
      <c r="P29" s="20"/>
      <c r="Q29" s="20">
        <v>53.36</v>
      </c>
      <c r="R29" s="20">
        <v>0</v>
      </c>
      <c r="S29" s="20">
        <v>47239.92</v>
      </c>
    </row>
    <row r="30" spans="1:19" ht="15">
      <c r="A30" s="40">
        <f t="shared" si="1"/>
        <v>14</v>
      </c>
      <c r="B30" s="25" t="s">
        <v>428</v>
      </c>
      <c r="C30" s="20">
        <f t="shared" si="2"/>
        <v>-45776.5</v>
      </c>
      <c r="D30" s="20">
        <f t="shared" si="3"/>
        <v>-47289.549999999996</v>
      </c>
      <c r="E30" s="20"/>
      <c r="F30" s="20"/>
      <c r="G30" s="20">
        <f t="shared" si="0"/>
        <v>-46533</v>
      </c>
      <c r="H30" s="20"/>
      <c r="I30" s="20">
        <f t="shared" si="4"/>
        <v>-53.375</v>
      </c>
      <c r="J30" s="20">
        <f t="shared" si="4"/>
        <v>0</v>
      </c>
      <c r="K30" s="20">
        <f t="shared" si="4"/>
        <v>-46479.649999999994</v>
      </c>
      <c r="L30" s="20"/>
      <c r="M30" s="20">
        <v>-53.55</v>
      </c>
      <c r="N30" s="9">
        <v>0</v>
      </c>
      <c r="O30" s="20">
        <v>-45722.95</v>
      </c>
      <c r="P30" s="20"/>
      <c r="Q30" s="20">
        <v>-53.2</v>
      </c>
      <c r="R30" s="20">
        <v>0</v>
      </c>
      <c r="S30" s="20">
        <v>-47236.35</v>
      </c>
    </row>
    <row r="31" spans="1:19" ht="15">
      <c r="A31" s="40">
        <f t="shared" si="1"/>
        <v>15</v>
      </c>
      <c r="B31" s="20" t="s">
        <v>345</v>
      </c>
      <c r="C31" s="20">
        <f t="shared" si="2"/>
        <v>120570.42</v>
      </c>
      <c r="D31" s="20">
        <f t="shared" si="3"/>
        <v>96090.31999999999</v>
      </c>
      <c r="E31" s="20"/>
      <c r="F31" s="20"/>
      <c r="G31" s="20">
        <f t="shared" si="0"/>
        <v>108330</v>
      </c>
      <c r="H31" s="20"/>
      <c r="I31" s="20">
        <f t="shared" si="4"/>
        <v>3413.475</v>
      </c>
      <c r="J31" s="20">
        <f t="shared" si="4"/>
        <v>0</v>
      </c>
      <c r="K31" s="20">
        <f t="shared" si="4"/>
        <v>104916.89499999999</v>
      </c>
      <c r="L31" s="20"/>
      <c r="M31" s="20">
        <v>0</v>
      </c>
      <c r="N31" s="9">
        <v>0</v>
      </c>
      <c r="O31" s="20">
        <v>120570.42</v>
      </c>
      <c r="P31" s="20"/>
      <c r="Q31" s="20">
        <v>6826.95</v>
      </c>
      <c r="R31" s="20">
        <v>0</v>
      </c>
      <c r="S31" s="20">
        <v>89263.37</v>
      </c>
    </row>
    <row r="32" spans="1:19" ht="15">
      <c r="A32" s="40">
        <f t="shared" si="1"/>
        <v>16</v>
      </c>
      <c r="B32" s="25" t="s">
        <v>167</v>
      </c>
      <c r="C32" s="20">
        <f t="shared" si="2"/>
        <v>219621.64</v>
      </c>
      <c r="D32" s="20">
        <f t="shared" si="3"/>
        <v>199479.78</v>
      </c>
      <c r="E32" s="20"/>
      <c r="F32" s="20"/>
      <c r="G32" s="20">
        <f t="shared" si="0"/>
        <v>209551</v>
      </c>
      <c r="H32" s="20"/>
      <c r="I32" s="20">
        <f t="shared" si="4"/>
        <v>6278.8099999999995</v>
      </c>
      <c r="J32" s="20">
        <f t="shared" si="4"/>
        <v>0</v>
      </c>
      <c r="K32" s="20">
        <f t="shared" si="4"/>
        <v>203271.90000000002</v>
      </c>
      <c r="L32" s="20"/>
      <c r="M32" s="20">
        <v>3855.07</v>
      </c>
      <c r="N32" s="9">
        <v>0</v>
      </c>
      <c r="O32" s="20">
        <f>215766.75-0.18</f>
        <v>215766.57</v>
      </c>
      <c r="P32" s="20"/>
      <c r="Q32" s="20">
        <v>8702.55</v>
      </c>
      <c r="R32" s="20">
        <v>0</v>
      </c>
      <c r="S32" s="20">
        <f>-0.18+190777.41</f>
        <v>190777.23</v>
      </c>
    </row>
    <row r="33" spans="1:19" ht="15">
      <c r="A33" s="40">
        <f t="shared" si="1"/>
        <v>17</v>
      </c>
      <c r="B33" s="20" t="s">
        <v>168</v>
      </c>
      <c r="C33" s="20">
        <f t="shared" si="2"/>
        <v>49538.53</v>
      </c>
      <c r="D33" s="20">
        <f t="shared" si="3"/>
        <v>27146.79</v>
      </c>
      <c r="E33" s="20"/>
      <c r="F33" s="20"/>
      <c r="G33" s="20">
        <f t="shared" si="0"/>
        <v>38343</v>
      </c>
      <c r="H33" s="20"/>
      <c r="I33" s="20">
        <f t="shared" si="4"/>
        <v>0.24</v>
      </c>
      <c r="J33" s="20">
        <f t="shared" si="4"/>
        <v>-0.09</v>
      </c>
      <c r="K33" s="20">
        <f t="shared" si="4"/>
        <v>38342.509999999995</v>
      </c>
      <c r="L33" s="20"/>
      <c r="M33" s="20">
        <v>0.24</v>
      </c>
      <c r="N33" s="20">
        <v>-0.09</v>
      </c>
      <c r="O33" s="20">
        <v>49538.38</v>
      </c>
      <c r="P33" s="20"/>
      <c r="Q33" s="20">
        <v>0.24</v>
      </c>
      <c r="R33" s="20">
        <v>-0.09</v>
      </c>
      <c r="S33" s="20">
        <v>27146.64</v>
      </c>
    </row>
    <row r="34" spans="1:19" ht="15">
      <c r="A34" s="40">
        <f t="shared" si="1"/>
        <v>18</v>
      </c>
      <c r="B34" s="20" t="s">
        <v>169</v>
      </c>
      <c r="C34" s="20">
        <f t="shared" si="2"/>
        <v>121768.53</v>
      </c>
      <c r="D34" s="20">
        <f t="shared" si="3"/>
        <v>38493.38</v>
      </c>
      <c r="E34" s="20"/>
      <c r="F34" s="20"/>
      <c r="G34" s="20">
        <f t="shared" si="0"/>
        <v>80131</v>
      </c>
      <c r="H34" s="20"/>
      <c r="I34" s="20">
        <f t="shared" si="4"/>
        <v>80130.925</v>
      </c>
      <c r="J34" s="20">
        <f t="shared" si="4"/>
        <v>0</v>
      </c>
      <c r="K34" s="20">
        <f t="shared" si="4"/>
        <v>0.03</v>
      </c>
      <c r="L34" s="20"/>
      <c r="M34" s="20">
        <v>121768.5</v>
      </c>
      <c r="N34" s="9">
        <v>0</v>
      </c>
      <c r="O34" s="20">
        <v>0.03</v>
      </c>
      <c r="P34" s="20"/>
      <c r="Q34" s="20">
        <v>38493.35</v>
      </c>
      <c r="R34" s="20">
        <v>0</v>
      </c>
      <c r="S34" s="20">
        <v>0.03</v>
      </c>
    </row>
    <row r="35" spans="1:19" ht="15">
      <c r="A35" s="40">
        <f t="shared" si="1"/>
        <v>19</v>
      </c>
      <c r="B35" s="25" t="s">
        <v>170</v>
      </c>
      <c r="C35" s="20">
        <f t="shared" si="2"/>
        <v>-14162.05</v>
      </c>
      <c r="D35" s="20">
        <f t="shared" si="3"/>
        <v>-5350.8</v>
      </c>
      <c r="E35" s="20"/>
      <c r="F35" s="20"/>
      <c r="G35" s="20">
        <f t="shared" si="0"/>
        <v>-9756</v>
      </c>
      <c r="H35" s="20"/>
      <c r="I35" s="20">
        <f t="shared" si="4"/>
        <v>-9756.425</v>
      </c>
      <c r="J35" s="20">
        <f t="shared" si="4"/>
        <v>0</v>
      </c>
      <c r="K35" s="20">
        <f t="shared" si="4"/>
        <v>0</v>
      </c>
      <c r="L35" s="20"/>
      <c r="M35" s="20">
        <v>-14162.05</v>
      </c>
      <c r="N35" s="9">
        <v>0</v>
      </c>
      <c r="O35" s="9">
        <v>0</v>
      </c>
      <c r="P35" s="20"/>
      <c r="Q35" s="20">
        <v>-5350.8</v>
      </c>
      <c r="R35" s="20">
        <v>0</v>
      </c>
      <c r="S35" s="20">
        <v>0</v>
      </c>
    </row>
    <row r="36" spans="1:19" ht="15">
      <c r="A36" s="40">
        <f t="shared" si="1"/>
        <v>20</v>
      </c>
      <c r="B36" s="25" t="s">
        <v>697</v>
      </c>
      <c r="C36" s="20">
        <f>SUM(M36:O36)</f>
        <v>0</v>
      </c>
      <c r="D36" s="20">
        <f>SUM(Q36:S36)</f>
        <v>11191060.83</v>
      </c>
      <c r="E36" s="20"/>
      <c r="F36" s="20"/>
      <c r="G36" s="20">
        <f>ROUND(SUM(C36:F36)/2,0)</f>
        <v>5595530</v>
      </c>
      <c r="H36" s="20"/>
      <c r="I36" s="20">
        <f t="shared" si="4"/>
        <v>5595530.415</v>
      </c>
      <c r="J36" s="20">
        <f t="shared" si="4"/>
        <v>0</v>
      </c>
      <c r="K36" s="20">
        <f t="shared" si="4"/>
        <v>0</v>
      </c>
      <c r="L36" s="20"/>
      <c r="M36" s="20">
        <v>0</v>
      </c>
      <c r="N36" s="9">
        <v>0</v>
      </c>
      <c r="O36" s="9">
        <v>0</v>
      </c>
      <c r="P36" s="20"/>
      <c r="Q36" s="20">
        <v>11191060.83</v>
      </c>
      <c r="R36" s="20">
        <v>0</v>
      </c>
      <c r="S36" s="20">
        <v>0</v>
      </c>
    </row>
    <row r="37" spans="1:19" ht="15">
      <c r="A37" s="40">
        <f t="shared" si="1"/>
        <v>21</v>
      </c>
      <c r="B37" s="25" t="s">
        <v>670</v>
      </c>
      <c r="C37" s="20">
        <f>SUM(M37:O37)</f>
        <v>0</v>
      </c>
      <c r="D37" s="20">
        <f>SUM(Q37:S37)</f>
        <v>147442.6</v>
      </c>
      <c r="E37" s="20"/>
      <c r="F37" s="20"/>
      <c r="G37" s="20">
        <f>ROUND(SUM(C37:F37)/2,0)</f>
        <v>73721</v>
      </c>
      <c r="H37" s="20"/>
      <c r="I37" s="20">
        <f t="shared" si="4"/>
        <v>17995.775</v>
      </c>
      <c r="J37" s="20">
        <f t="shared" si="4"/>
        <v>7933.625</v>
      </c>
      <c r="K37" s="20">
        <f t="shared" si="4"/>
        <v>47791.9</v>
      </c>
      <c r="L37" s="20"/>
      <c r="M37" s="20">
        <v>0</v>
      </c>
      <c r="N37" s="9">
        <v>0</v>
      </c>
      <c r="O37" s="9">
        <v>0</v>
      </c>
      <c r="P37" s="20"/>
      <c r="Q37" s="20">
        <v>35991.55</v>
      </c>
      <c r="R37" s="20">
        <v>15867.25</v>
      </c>
      <c r="S37" s="20">
        <v>95583.8</v>
      </c>
    </row>
    <row r="38" spans="1:19" ht="15">
      <c r="A38" s="40">
        <f t="shared" si="1"/>
        <v>22</v>
      </c>
      <c r="B38" s="20" t="s">
        <v>171</v>
      </c>
      <c r="C38" s="20">
        <f t="shared" si="2"/>
        <v>963735.9</v>
      </c>
      <c r="D38" s="20">
        <f t="shared" si="3"/>
        <v>872239.8500000001</v>
      </c>
      <c r="E38" s="20"/>
      <c r="F38" s="20"/>
      <c r="G38" s="20">
        <f t="shared" si="0"/>
        <v>917988</v>
      </c>
      <c r="H38" s="20"/>
      <c r="I38" s="20">
        <f t="shared" si="4"/>
        <v>284627.485</v>
      </c>
      <c r="J38" s="20">
        <f t="shared" si="4"/>
        <v>198471.96000000002</v>
      </c>
      <c r="K38" s="20">
        <f t="shared" si="4"/>
        <v>434888.43000000005</v>
      </c>
      <c r="L38" s="20"/>
      <c r="M38" s="20">
        <v>302652.4</v>
      </c>
      <c r="N38" s="20">
        <v>192638.35</v>
      </c>
      <c r="O38" s="20">
        <v>468445.15</v>
      </c>
      <c r="P38" s="20"/>
      <c r="Q38" s="20">
        <v>266602.57</v>
      </c>
      <c r="R38" s="20">
        <v>204305.57</v>
      </c>
      <c r="S38" s="20">
        <v>401331.71</v>
      </c>
    </row>
    <row r="39" spans="1:19" ht="15">
      <c r="A39" s="40">
        <f t="shared" si="1"/>
        <v>23</v>
      </c>
      <c r="B39" s="20" t="s">
        <v>173</v>
      </c>
      <c r="C39" s="20">
        <f t="shared" si="2"/>
        <v>764926.87</v>
      </c>
      <c r="D39" s="20">
        <f t="shared" si="3"/>
        <v>758345.52</v>
      </c>
      <c r="E39" s="20"/>
      <c r="F39" s="20"/>
      <c r="G39" s="20">
        <f t="shared" si="0"/>
        <v>761636</v>
      </c>
      <c r="H39" s="20"/>
      <c r="I39" s="20">
        <f t="shared" si="4"/>
        <v>227057.06</v>
      </c>
      <c r="J39" s="20">
        <f t="shared" si="4"/>
        <v>72531.38500000001</v>
      </c>
      <c r="K39" s="20">
        <f t="shared" si="4"/>
        <v>462047.75</v>
      </c>
      <c r="L39" s="20"/>
      <c r="M39" s="20">
        <v>239452.91</v>
      </c>
      <c r="N39" s="20">
        <v>73023.86</v>
      </c>
      <c r="O39" s="20">
        <v>452450.1</v>
      </c>
      <c r="P39" s="20"/>
      <c r="Q39" s="20">
        <v>214661.21</v>
      </c>
      <c r="R39" s="20">
        <v>72038.91</v>
      </c>
      <c r="S39" s="20">
        <v>471645.4</v>
      </c>
    </row>
    <row r="40" spans="1:19" ht="15">
      <c r="A40" s="40">
        <f t="shared" si="1"/>
        <v>24</v>
      </c>
      <c r="B40" s="25" t="s">
        <v>174</v>
      </c>
      <c r="C40" s="20">
        <f t="shared" si="2"/>
        <v>73894.61</v>
      </c>
      <c r="D40" s="20">
        <f t="shared" si="3"/>
        <v>49185.26</v>
      </c>
      <c r="E40" s="20"/>
      <c r="F40" s="20"/>
      <c r="G40" s="20">
        <f t="shared" si="0"/>
        <v>61540</v>
      </c>
      <c r="H40" s="20"/>
      <c r="I40" s="20">
        <f t="shared" si="4"/>
        <v>-0.22</v>
      </c>
      <c r="J40" s="20">
        <f t="shared" si="4"/>
        <v>0</v>
      </c>
      <c r="K40" s="20">
        <f t="shared" si="4"/>
        <v>61540.155</v>
      </c>
      <c r="L40" s="20"/>
      <c r="M40" s="20">
        <v>-0.22</v>
      </c>
      <c r="N40" s="9">
        <v>0</v>
      </c>
      <c r="O40" s="20">
        <v>73894.83</v>
      </c>
      <c r="P40" s="20"/>
      <c r="Q40" s="20">
        <v>-0.22</v>
      </c>
      <c r="R40" s="20">
        <v>0</v>
      </c>
      <c r="S40" s="20">
        <v>49185.48</v>
      </c>
    </row>
    <row r="41" spans="1:19" ht="15">
      <c r="A41" s="40">
        <f t="shared" si="1"/>
        <v>25</v>
      </c>
      <c r="B41" s="25" t="s">
        <v>429</v>
      </c>
      <c r="C41" s="20">
        <f t="shared" si="2"/>
        <v>174076.06</v>
      </c>
      <c r="D41" s="20">
        <f t="shared" si="3"/>
        <v>-0.16</v>
      </c>
      <c r="E41" s="20"/>
      <c r="F41" s="20"/>
      <c r="G41" s="20">
        <f t="shared" si="0"/>
        <v>87038</v>
      </c>
      <c r="H41" s="20"/>
      <c r="I41" s="20">
        <f t="shared" si="4"/>
        <v>16018.86</v>
      </c>
      <c r="J41" s="20">
        <f t="shared" si="4"/>
        <v>22339.245</v>
      </c>
      <c r="K41" s="20">
        <f t="shared" si="4"/>
        <v>48679.845</v>
      </c>
      <c r="L41" s="20"/>
      <c r="M41" s="20">
        <v>32037.72</v>
      </c>
      <c r="N41" s="20">
        <v>44678.49</v>
      </c>
      <c r="O41" s="20">
        <v>97359.85</v>
      </c>
      <c r="P41" s="20"/>
      <c r="Q41" s="20">
        <v>0</v>
      </c>
      <c r="R41" s="20">
        <v>0</v>
      </c>
      <c r="S41" s="20">
        <v>-0.16</v>
      </c>
    </row>
    <row r="42" spans="1:19" ht="15">
      <c r="A42" s="40">
        <f t="shared" si="1"/>
        <v>26</v>
      </c>
      <c r="B42" s="25" t="s">
        <v>698</v>
      </c>
      <c r="C42" s="20">
        <f>SUM(M42:O42)</f>
        <v>0</v>
      </c>
      <c r="D42" s="20">
        <f>SUM(Q42:S42)</f>
        <v>163100.01</v>
      </c>
      <c r="E42" s="20"/>
      <c r="F42" s="20"/>
      <c r="G42" s="20">
        <f>ROUND(SUM(C42:F42)/2,0)</f>
        <v>81550</v>
      </c>
      <c r="H42" s="20"/>
      <c r="I42" s="20">
        <f t="shared" si="4"/>
        <v>81550</v>
      </c>
      <c r="J42" s="20">
        <f t="shared" si="4"/>
        <v>0</v>
      </c>
      <c r="K42" s="20">
        <f t="shared" si="4"/>
        <v>0.005</v>
      </c>
      <c r="L42" s="20"/>
      <c r="M42" s="20">
        <v>0</v>
      </c>
      <c r="N42" s="20">
        <v>0</v>
      </c>
      <c r="O42" s="20">
        <v>0</v>
      </c>
      <c r="P42" s="20"/>
      <c r="Q42" s="20">
        <v>163100</v>
      </c>
      <c r="R42" s="20">
        <v>0</v>
      </c>
      <c r="S42" s="20">
        <v>0.01</v>
      </c>
    </row>
    <row r="43" spans="1:19" ht="15">
      <c r="A43" s="40">
        <f t="shared" si="1"/>
        <v>27</v>
      </c>
      <c r="B43" s="25" t="s">
        <v>699</v>
      </c>
      <c r="C43" s="20">
        <f>SUM(M43:O43)</f>
        <v>0</v>
      </c>
      <c r="D43" s="20">
        <f>SUM(Q43:S43)</f>
        <v>652400.01</v>
      </c>
      <c r="E43" s="20"/>
      <c r="F43" s="20"/>
      <c r="G43" s="20">
        <f>ROUND(SUM(C43:F43)/2,0)</f>
        <v>326200</v>
      </c>
      <c r="H43" s="20"/>
      <c r="I43" s="20">
        <f t="shared" si="4"/>
        <v>326200</v>
      </c>
      <c r="J43" s="20">
        <f t="shared" si="4"/>
        <v>0</v>
      </c>
      <c r="K43" s="20">
        <f t="shared" si="4"/>
        <v>0.005</v>
      </c>
      <c r="L43" s="20"/>
      <c r="M43" s="20">
        <v>0</v>
      </c>
      <c r="N43" s="20">
        <v>0</v>
      </c>
      <c r="O43" s="20">
        <v>0</v>
      </c>
      <c r="P43" s="20"/>
      <c r="Q43" s="20">
        <v>652400</v>
      </c>
      <c r="R43" s="20">
        <v>0</v>
      </c>
      <c r="S43" s="20">
        <v>0.01</v>
      </c>
    </row>
    <row r="44" spans="1:19" ht="15">
      <c r="A44" s="40">
        <f t="shared" si="1"/>
        <v>28</v>
      </c>
      <c r="B44" s="20" t="s">
        <v>176</v>
      </c>
      <c r="C44" s="20">
        <f t="shared" si="2"/>
        <v>-7301.52</v>
      </c>
      <c r="D44" s="20">
        <f t="shared" si="3"/>
        <v>-7301.52</v>
      </c>
      <c r="E44" s="20"/>
      <c r="F44" s="20"/>
      <c r="G44" s="20">
        <f t="shared" si="0"/>
        <v>-7302</v>
      </c>
      <c r="H44" s="20"/>
      <c r="I44" s="20">
        <f t="shared" si="4"/>
        <v>-7301.52</v>
      </c>
      <c r="J44" s="20">
        <f t="shared" si="4"/>
        <v>0</v>
      </c>
      <c r="K44" s="20">
        <f t="shared" si="4"/>
        <v>0</v>
      </c>
      <c r="L44" s="20"/>
      <c r="M44" s="20">
        <f>-5192.52-2109</f>
        <v>-7301.52</v>
      </c>
      <c r="N44" s="20">
        <v>0</v>
      </c>
      <c r="O44" s="20">
        <v>0</v>
      </c>
      <c r="P44" s="20"/>
      <c r="Q44" s="20">
        <f>-5192.52-2109</f>
        <v>-7301.52</v>
      </c>
      <c r="R44" s="20">
        <v>0</v>
      </c>
      <c r="S44" s="20">
        <v>0</v>
      </c>
    </row>
    <row r="45" spans="1:19" ht="15">
      <c r="A45" s="40">
        <f t="shared" si="1"/>
        <v>29</v>
      </c>
      <c r="B45" s="25" t="s">
        <v>430</v>
      </c>
      <c r="C45" s="20">
        <f t="shared" si="2"/>
        <v>-26106.649999999994</v>
      </c>
      <c r="D45" s="20">
        <f t="shared" si="3"/>
        <v>11656.599999999991</v>
      </c>
      <c r="E45" s="20"/>
      <c r="F45" s="20"/>
      <c r="G45" s="20">
        <f t="shared" si="0"/>
        <v>-7225</v>
      </c>
      <c r="H45" s="20"/>
      <c r="I45" s="20">
        <f t="shared" si="4"/>
        <v>-17089.85</v>
      </c>
      <c r="J45" s="20">
        <f t="shared" si="4"/>
        <v>-552.1750000000029</v>
      </c>
      <c r="K45" s="20">
        <f t="shared" si="4"/>
        <v>10417</v>
      </c>
      <c r="L45" s="20"/>
      <c r="M45" s="20">
        <f>-150933.65+116047</f>
        <v>-34886.649999999994</v>
      </c>
      <c r="N45" s="20">
        <f>-78493.8+77302</f>
        <v>-1191.800000000003</v>
      </c>
      <c r="O45" s="20">
        <f>-106075.2+116047</f>
        <v>9971.800000000003</v>
      </c>
      <c r="P45" s="20"/>
      <c r="Q45" s="20">
        <f>-115340.05+116047</f>
        <v>706.9499999999971</v>
      </c>
      <c r="R45" s="20">
        <f>-77214.55+77302</f>
        <v>87.44999999999709</v>
      </c>
      <c r="S45" s="20">
        <f>-105184.8+116047</f>
        <v>10862.199999999997</v>
      </c>
    </row>
    <row r="46" spans="1:19" ht="15">
      <c r="A46" s="40">
        <f t="shared" si="1"/>
        <v>30</v>
      </c>
      <c r="B46" s="25" t="s">
        <v>431</v>
      </c>
      <c r="C46" s="20">
        <f t="shared" si="2"/>
        <v>9359.350000000002</v>
      </c>
      <c r="D46" s="20">
        <f t="shared" si="3"/>
        <v>10529.400000000001</v>
      </c>
      <c r="E46" s="20"/>
      <c r="F46" s="20"/>
      <c r="G46" s="20">
        <f t="shared" si="0"/>
        <v>9944</v>
      </c>
      <c r="H46" s="20"/>
      <c r="I46" s="20">
        <f t="shared" si="4"/>
        <v>5038.725</v>
      </c>
      <c r="J46" s="20">
        <f t="shared" si="4"/>
        <v>213.07500000000073</v>
      </c>
      <c r="K46" s="20">
        <f t="shared" si="4"/>
        <v>4692.575000000001</v>
      </c>
      <c r="L46" s="20"/>
      <c r="M46" s="20">
        <f>31550.75-26767</f>
        <v>4783.75</v>
      </c>
      <c r="N46" s="20">
        <f>18040.4-17845</f>
        <v>195.40000000000146</v>
      </c>
      <c r="O46" s="20">
        <f>31147.2-26767</f>
        <v>4380.200000000001</v>
      </c>
      <c r="P46" s="20"/>
      <c r="Q46" s="20">
        <f>32060.7-26767</f>
        <v>5293.700000000001</v>
      </c>
      <c r="R46" s="20">
        <f>18075.75-17845</f>
        <v>230.75</v>
      </c>
      <c r="S46" s="20">
        <f>31771.95-26767</f>
        <v>5004.950000000001</v>
      </c>
    </row>
    <row r="47" spans="1:19" ht="15">
      <c r="A47" s="40">
        <f t="shared" si="1"/>
        <v>31</v>
      </c>
      <c r="B47" s="25" t="s">
        <v>432</v>
      </c>
      <c r="C47" s="20">
        <f t="shared" si="2"/>
        <v>4822.6500000000015</v>
      </c>
      <c r="D47" s="20">
        <f t="shared" si="3"/>
        <v>-1005587.4500000001</v>
      </c>
      <c r="E47" s="20"/>
      <c r="F47" s="20"/>
      <c r="G47" s="20">
        <f t="shared" si="0"/>
        <v>-500382</v>
      </c>
      <c r="H47" s="20"/>
      <c r="I47" s="20">
        <f t="shared" si="4"/>
        <v>-562305.8500000001</v>
      </c>
      <c r="J47" s="20">
        <f t="shared" si="4"/>
        <v>207579.15</v>
      </c>
      <c r="K47" s="20">
        <f t="shared" si="4"/>
        <v>-145655.69999999998</v>
      </c>
      <c r="L47" s="20"/>
      <c r="M47" s="20">
        <v>19681.15</v>
      </c>
      <c r="N47" s="20">
        <v>-75137.2</v>
      </c>
      <c r="O47" s="20">
        <v>60278.7</v>
      </c>
      <c r="P47" s="20"/>
      <c r="Q47" s="20">
        <v>-1144292.85</v>
      </c>
      <c r="R47" s="20">
        <v>490295.5</v>
      </c>
      <c r="S47" s="20">
        <v>-351590.1</v>
      </c>
    </row>
    <row r="48" spans="1:19" ht="15">
      <c r="A48" s="40">
        <f t="shared" si="1"/>
        <v>32</v>
      </c>
      <c r="B48" s="25" t="s">
        <v>608</v>
      </c>
      <c r="C48" s="20">
        <f>SUM(M48:O48)</f>
        <v>0</v>
      </c>
      <c r="D48" s="20">
        <f>SUM(Q48:S48)</f>
        <v>127206</v>
      </c>
      <c r="E48" s="20"/>
      <c r="F48" s="20"/>
      <c r="G48" s="20">
        <f>ROUND(SUM(C48:F48)/2,0)</f>
        <v>63603</v>
      </c>
      <c r="H48" s="20"/>
      <c r="I48" s="20">
        <f>(+M48+Q48)/2</f>
        <v>63603</v>
      </c>
      <c r="J48" s="20">
        <f>(+N48+R48)/2</f>
        <v>0</v>
      </c>
      <c r="K48" s="20">
        <f>(+O48+S48)/2</f>
        <v>0</v>
      </c>
      <c r="L48" s="20"/>
      <c r="M48" s="20">
        <v>0</v>
      </c>
      <c r="N48" s="20">
        <v>0</v>
      </c>
      <c r="O48" s="20">
        <v>0</v>
      </c>
      <c r="P48" s="20"/>
      <c r="Q48" s="20">
        <v>127206</v>
      </c>
      <c r="R48" s="20">
        <v>0</v>
      </c>
      <c r="S48" s="20">
        <v>0</v>
      </c>
    </row>
    <row r="49" spans="1:19" ht="15">
      <c r="A49" s="40">
        <f t="shared" si="1"/>
        <v>33</v>
      </c>
      <c r="B49" s="25" t="s">
        <v>183</v>
      </c>
      <c r="C49" s="20">
        <f t="shared" si="2"/>
        <v>396107.44</v>
      </c>
      <c r="D49" s="20">
        <f t="shared" si="3"/>
        <v>582739.44</v>
      </c>
      <c r="E49" s="20"/>
      <c r="F49" s="20"/>
      <c r="G49" s="20">
        <f t="shared" si="0"/>
        <v>489423</v>
      </c>
      <c r="H49" s="20"/>
      <c r="I49" s="20">
        <f t="shared" si="4"/>
        <v>489423.43999999994</v>
      </c>
      <c r="J49" s="20">
        <f t="shared" si="4"/>
        <v>0</v>
      </c>
      <c r="K49" s="20">
        <f t="shared" si="4"/>
        <v>0</v>
      </c>
      <c r="L49" s="20"/>
      <c r="M49" s="20">
        <v>396107.44</v>
      </c>
      <c r="N49" s="9">
        <v>0</v>
      </c>
      <c r="O49" s="9">
        <v>0</v>
      </c>
      <c r="P49" s="20"/>
      <c r="Q49" s="20">
        <f>396107.44+186632</f>
        <v>582739.44</v>
      </c>
      <c r="R49" s="20">
        <v>0</v>
      </c>
      <c r="S49" s="20">
        <v>0</v>
      </c>
    </row>
    <row r="50" spans="1:19" ht="15">
      <c r="A50" s="40">
        <f t="shared" si="1"/>
        <v>34</v>
      </c>
      <c r="B50" s="25" t="s">
        <v>358</v>
      </c>
      <c r="C50" s="20">
        <f t="shared" si="2"/>
        <v>160050.77</v>
      </c>
      <c r="D50" s="20">
        <f t="shared" si="3"/>
        <v>97687.08</v>
      </c>
      <c r="E50" s="20"/>
      <c r="F50" s="20"/>
      <c r="G50" s="20">
        <f t="shared" si="0"/>
        <v>128869</v>
      </c>
      <c r="H50" s="20"/>
      <c r="I50" s="20">
        <f t="shared" si="4"/>
        <v>128868.92499999999</v>
      </c>
      <c r="J50" s="20">
        <f t="shared" si="4"/>
        <v>0</v>
      </c>
      <c r="K50" s="20">
        <f t="shared" si="4"/>
        <v>0</v>
      </c>
      <c r="L50" s="20"/>
      <c r="M50" s="20">
        <v>160050.77</v>
      </c>
      <c r="N50" s="9">
        <v>0</v>
      </c>
      <c r="O50" s="9">
        <v>0</v>
      </c>
      <c r="P50" s="20"/>
      <c r="Q50" s="20">
        <f>66401.08+31286</f>
        <v>97687.08</v>
      </c>
      <c r="R50" s="20">
        <v>0</v>
      </c>
      <c r="S50" s="20">
        <v>0</v>
      </c>
    </row>
    <row r="51" spans="1:19" ht="15">
      <c r="A51" s="40">
        <f t="shared" si="1"/>
        <v>35</v>
      </c>
      <c r="B51" s="25" t="s">
        <v>433</v>
      </c>
      <c r="C51" s="20">
        <f t="shared" si="2"/>
        <v>-8362238.5</v>
      </c>
      <c r="D51" s="20">
        <f t="shared" si="3"/>
        <v>-6717783.1</v>
      </c>
      <c r="E51" s="20"/>
      <c r="F51" s="20"/>
      <c r="G51" s="20">
        <f t="shared" si="0"/>
        <v>-7540011</v>
      </c>
      <c r="H51" s="20"/>
      <c r="I51" s="20">
        <f t="shared" si="4"/>
        <v>0</v>
      </c>
      <c r="J51" s="20">
        <f t="shared" si="4"/>
        <v>0</v>
      </c>
      <c r="K51" s="20">
        <f t="shared" si="4"/>
        <v>-7540010.8</v>
      </c>
      <c r="L51" s="20"/>
      <c r="M51" s="9">
        <v>0</v>
      </c>
      <c r="N51" s="9">
        <v>0</v>
      </c>
      <c r="O51" s="20">
        <v>-8362238.5</v>
      </c>
      <c r="P51" s="20"/>
      <c r="Q51" s="20">
        <v>0</v>
      </c>
      <c r="R51" s="20">
        <v>0</v>
      </c>
      <c r="S51" s="20">
        <v>-6717783.1</v>
      </c>
    </row>
    <row r="52" spans="1:19" ht="15">
      <c r="A52" s="40">
        <f t="shared" si="1"/>
        <v>36</v>
      </c>
      <c r="B52" s="25" t="s">
        <v>700</v>
      </c>
      <c r="C52" s="20">
        <f>SUM(M52:O52)</f>
        <v>0</v>
      </c>
      <c r="D52" s="20">
        <f>SUM(Q52:S52)</f>
        <v>111851</v>
      </c>
      <c r="E52" s="20"/>
      <c r="F52" s="20"/>
      <c r="G52" s="20">
        <f>ROUND(SUM(C52:F52)/2,0)</f>
        <v>55926</v>
      </c>
      <c r="H52" s="20"/>
      <c r="I52" s="20">
        <f t="shared" si="4"/>
        <v>55925.5</v>
      </c>
      <c r="J52" s="20">
        <f t="shared" si="4"/>
        <v>0</v>
      </c>
      <c r="K52" s="20">
        <f t="shared" si="4"/>
        <v>0</v>
      </c>
      <c r="L52" s="20"/>
      <c r="M52" s="9">
        <v>0</v>
      </c>
      <c r="N52" s="9">
        <v>0</v>
      </c>
      <c r="O52" s="9">
        <v>0</v>
      </c>
      <c r="P52" s="20"/>
      <c r="Q52" s="20">
        <v>111851</v>
      </c>
      <c r="R52" s="20">
        <v>0</v>
      </c>
      <c r="S52" s="9">
        <v>0</v>
      </c>
    </row>
    <row r="53" spans="1:19" ht="15">
      <c r="A53" s="40">
        <f t="shared" si="1"/>
        <v>37</v>
      </c>
      <c r="B53" s="25" t="s">
        <v>193</v>
      </c>
      <c r="C53" s="20">
        <f>SUM(M53:O53)</f>
        <v>0</v>
      </c>
      <c r="D53" s="20">
        <f>SUM(Q53:S53)</f>
        <v>7752</v>
      </c>
      <c r="E53" s="20"/>
      <c r="F53" s="20"/>
      <c r="G53" s="20">
        <f>ROUND(SUM(C53:F53)/2,0)</f>
        <v>3876</v>
      </c>
      <c r="H53" s="20"/>
      <c r="I53" s="20">
        <f t="shared" si="4"/>
        <v>3876</v>
      </c>
      <c r="J53" s="20">
        <f t="shared" si="4"/>
        <v>0</v>
      </c>
      <c r="K53" s="20">
        <f t="shared" si="4"/>
        <v>0</v>
      </c>
      <c r="L53" s="20"/>
      <c r="M53" s="9">
        <v>0</v>
      </c>
      <c r="N53" s="9">
        <v>0</v>
      </c>
      <c r="O53" s="9">
        <v>0</v>
      </c>
      <c r="P53" s="20"/>
      <c r="Q53" s="20">
        <v>7752</v>
      </c>
      <c r="R53" s="20">
        <v>0</v>
      </c>
      <c r="S53" s="9">
        <v>0</v>
      </c>
    </row>
    <row r="54" spans="1:19" ht="15">
      <c r="A54" s="40">
        <f t="shared" si="1"/>
        <v>38</v>
      </c>
      <c r="B54" s="25" t="s">
        <v>529</v>
      </c>
      <c r="C54" s="20">
        <f>SUM(M54:O54)</f>
        <v>0</v>
      </c>
      <c r="D54" s="20">
        <f>SUM(Q54:S54)</f>
        <v>-13943</v>
      </c>
      <c r="E54" s="20"/>
      <c r="F54" s="20"/>
      <c r="G54" s="20">
        <f>ROUND(SUM(C54:F54)/2,0)</f>
        <v>-6972</v>
      </c>
      <c r="H54" s="20"/>
      <c r="I54" s="20">
        <f t="shared" si="4"/>
        <v>-6971.5</v>
      </c>
      <c r="J54" s="20">
        <f t="shared" si="4"/>
        <v>0</v>
      </c>
      <c r="K54" s="20">
        <f t="shared" si="4"/>
        <v>0</v>
      </c>
      <c r="L54" s="20"/>
      <c r="M54" s="9">
        <v>0</v>
      </c>
      <c r="N54" s="9">
        <v>0</v>
      </c>
      <c r="O54" s="9">
        <v>0</v>
      </c>
      <c r="P54" s="20"/>
      <c r="Q54" s="20">
        <v>-13943</v>
      </c>
      <c r="R54" s="20">
        <v>0</v>
      </c>
      <c r="S54" s="9">
        <v>0</v>
      </c>
    </row>
    <row r="55" spans="1:19" ht="15">
      <c r="A55" s="40">
        <f t="shared" si="1"/>
        <v>39</v>
      </c>
      <c r="B55" s="25" t="s">
        <v>434</v>
      </c>
      <c r="C55" s="20">
        <f t="shared" si="2"/>
        <v>1500644.1300000001</v>
      </c>
      <c r="D55" s="20">
        <f t="shared" si="3"/>
        <v>1140444.52</v>
      </c>
      <c r="E55" s="20"/>
      <c r="F55" s="20"/>
      <c r="G55" s="20">
        <f t="shared" si="0"/>
        <v>1320544</v>
      </c>
      <c r="H55" s="20"/>
      <c r="I55" s="20">
        <f t="shared" si="4"/>
        <v>1320544.315</v>
      </c>
      <c r="J55" s="20">
        <f t="shared" si="4"/>
        <v>0.01</v>
      </c>
      <c r="K55" s="20">
        <f t="shared" si="4"/>
        <v>0</v>
      </c>
      <c r="L55" s="20"/>
      <c r="M55" s="20">
        <v>1500644.12</v>
      </c>
      <c r="N55" s="20">
        <v>0.01</v>
      </c>
      <c r="O55" s="9">
        <v>0</v>
      </c>
      <c r="P55" s="20"/>
      <c r="Q55" s="20">
        <v>1140444.51</v>
      </c>
      <c r="R55" s="20">
        <v>0.01</v>
      </c>
      <c r="S55" s="20">
        <v>0</v>
      </c>
    </row>
    <row r="56" spans="1:19" ht="15">
      <c r="A56" s="40">
        <f t="shared" si="1"/>
        <v>40</v>
      </c>
      <c r="B56" s="25" t="s">
        <v>187</v>
      </c>
      <c r="C56" s="20">
        <f t="shared" si="2"/>
        <v>40855.05</v>
      </c>
      <c r="D56" s="20">
        <f t="shared" si="3"/>
        <v>36110.52</v>
      </c>
      <c r="E56" s="20"/>
      <c r="F56" s="20"/>
      <c r="G56" s="20">
        <f t="shared" si="0"/>
        <v>38483</v>
      </c>
      <c r="H56" s="20"/>
      <c r="I56" s="20">
        <f t="shared" si="4"/>
        <v>0</v>
      </c>
      <c r="J56" s="20">
        <f t="shared" si="4"/>
        <v>38482.785</v>
      </c>
      <c r="K56" s="20">
        <f t="shared" si="4"/>
        <v>0</v>
      </c>
      <c r="L56" s="20"/>
      <c r="M56" s="9">
        <v>0</v>
      </c>
      <c r="N56" s="20">
        <v>40855.05</v>
      </c>
      <c r="O56" s="9">
        <v>0</v>
      </c>
      <c r="P56" s="20"/>
      <c r="Q56" s="20">
        <v>0</v>
      </c>
      <c r="R56" s="20">
        <v>36110.52</v>
      </c>
      <c r="S56" s="20">
        <v>0</v>
      </c>
    </row>
    <row r="57" spans="1:19" ht="15">
      <c r="A57" s="40">
        <f t="shared" si="1"/>
        <v>41</v>
      </c>
      <c r="B57" s="20" t="s">
        <v>195</v>
      </c>
      <c r="C57" s="20">
        <f t="shared" si="2"/>
        <v>27628.9</v>
      </c>
      <c r="D57" s="20">
        <f t="shared" si="3"/>
        <v>31789.67</v>
      </c>
      <c r="E57" s="20"/>
      <c r="F57" s="20"/>
      <c r="G57" s="20">
        <f t="shared" si="0"/>
        <v>29709</v>
      </c>
      <c r="H57" s="20"/>
      <c r="I57" s="20">
        <f t="shared" si="4"/>
        <v>0</v>
      </c>
      <c r="J57" s="20">
        <f t="shared" si="4"/>
        <v>0</v>
      </c>
      <c r="K57" s="20">
        <f t="shared" si="4"/>
        <v>29709.285</v>
      </c>
      <c r="L57" s="20"/>
      <c r="M57" s="9">
        <v>0</v>
      </c>
      <c r="N57" s="9">
        <v>0</v>
      </c>
      <c r="O57" s="20">
        <v>27628.9</v>
      </c>
      <c r="P57" s="20"/>
      <c r="Q57" s="20">
        <v>0</v>
      </c>
      <c r="R57" s="20">
        <v>0</v>
      </c>
      <c r="S57" s="20">
        <v>31789.67</v>
      </c>
    </row>
    <row r="58" spans="1:19" ht="15">
      <c r="A58" s="40">
        <f t="shared" si="1"/>
        <v>42</v>
      </c>
      <c r="B58" s="20" t="s">
        <v>701</v>
      </c>
      <c r="C58" s="20">
        <f>SUM(M58:O58)</f>
        <v>0</v>
      </c>
      <c r="D58" s="20">
        <f>SUM(Q58:S58)</f>
        <v>611000.82</v>
      </c>
      <c r="E58" s="20"/>
      <c r="F58" s="20"/>
      <c r="G58" s="20">
        <f>ROUND(SUM(C58:F58)/2,0)</f>
        <v>305500</v>
      </c>
      <c r="H58" s="20"/>
      <c r="I58" s="20">
        <f>(+M58+Q58)/2</f>
        <v>305500.41</v>
      </c>
      <c r="J58" s="20">
        <f>(+N58+R58)/2</f>
        <v>0</v>
      </c>
      <c r="K58" s="20">
        <f>(+O58+S58)/2</f>
        <v>0</v>
      </c>
      <c r="L58" s="20"/>
      <c r="M58" s="9">
        <v>0</v>
      </c>
      <c r="N58" s="9">
        <v>0</v>
      </c>
      <c r="O58" s="20">
        <v>0</v>
      </c>
      <c r="P58" s="20"/>
      <c r="Q58" s="20">
        <v>611000.82</v>
      </c>
      <c r="R58" s="20">
        <v>0</v>
      </c>
      <c r="S58" s="20">
        <v>0</v>
      </c>
    </row>
    <row r="59" spans="1:19" ht="15">
      <c r="A59" s="40">
        <f t="shared" si="1"/>
        <v>43</v>
      </c>
      <c r="B59" s="20" t="s">
        <v>199</v>
      </c>
      <c r="C59" s="20">
        <f t="shared" si="2"/>
        <v>-32504.35</v>
      </c>
      <c r="D59" s="20">
        <f t="shared" si="3"/>
        <v>-31695.149999999998</v>
      </c>
      <c r="E59" s="20"/>
      <c r="F59" s="20"/>
      <c r="G59" s="20">
        <f t="shared" si="0"/>
        <v>-32100</v>
      </c>
      <c r="H59" s="20"/>
      <c r="I59" s="20">
        <f t="shared" si="4"/>
        <v>200.875</v>
      </c>
      <c r="J59" s="20">
        <f t="shared" si="4"/>
        <v>-24.125</v>
      </c>
      <c r="K59" s="20">
        <f t="shared" si="4"/>
        <v>-32276.5</v>
      </c>
      <c r="L59" s="20"/>
      <c r="M59" s="20">
        <v>292.75</v>
      </c>
      <c r="N59" s="20">
        <v>-24.65</v>
      </c>
      <c r="O59" s="20">
        <v>-32772.45</v>
      </c>
      <c r="P59" s="20"/>
      <c r="Q59" s="20">
        <v>109</v>
      </c>
      <c r="R59" s="20">
        <v>-23.6</v>
      </c>
      <c r="S59" s="20">
        <v>-31780.55</v>
      </c>
    </row>
    <row r="60" spans="1:19" ht="15">
      <c r="A60" s="40">
        <f t="shared" si="1"/>
        <v>44</v>
      </c>
      <c r="B60" s="20" t="s">
        <v>201</v>
      </c>
      <c r="C60" s="20">
        <f t="shared" si="2"/>
        <v>1773819.1099999999</v>
      </c>
      <c r="D60" s="20">
        <f t="shared" si="3"/>
        <v>264069.16000000003</v>
      </c>
      <c r="E60" s="20"/>
      <c r="F60" s="20"/>
      <c r="G60" s="20">
        <f t="shared" si="0"/>
        <v>1018944</v>
      </c>
      <c r="H60" s="20"/>
      <c r="I60" s="20">
        <f t="shared" si="4"/>
        <v>488996.155</v>
      </c>
      <c r="J60" s="20">
        <f t="shared" si="4"/>
        <v>56694.42</v>
      </c>
      <c r="K60" s="20">
        <f t="shared" si="4"/>
        <v>473253.56</v>
      </c>
      <c r="L60" s="20"/>
      <c r="M60" s="20">
        <v>564120.14</v>
      </c>
      <c r="N60" s="20">
        <v>128723.95</v>
      </c>
      <c r="O60" s="20">
        <v>1080975.02</v>
      </c>
      <c r="P60" s="20"/>
      <c r="Q60" s="20">
        <f>-150306.83+564179</f>
        <v>413872.17000000004</v>
      </c>
      <c r="R60" s="20">
        <v>-15335.11</v>
      </c>
      <c r="S60" s="20">
        <v>-134467.9</v>
      </c>
    </row>
    <row r="61" spans="1:19" ht="15">
      <c r="A61" s="40">
        <f t="shared" si="1"/>
        <v>45</v>
      </c>
      <c r="B61" s="25" t="s">
        <v>435</v>
      </c>
      <c r="C61" s="20">
        <f t="shared" si="2"/>
        <v>1425609.15</v>
      </c>
      <c r="D61" s="20">
        <f t="shared" si="3"/>
        <v>1853852.7000000002</v>
      </c>
      <c r="E61" s="20"/>
      <c r="F61" s="20"/>
      <c r="G61" s="20">
        <f t="shared" si="0"/>
        <v>1639731</v>
      </c>
      <c r="H61" s="20"/>
      <c r="I61" s="20">
        <f t="shared" si="4"/>
        <v>623573.4750000001</v>
      </c>
      <c r="J61" s="20">
        <f t="shared" si="4"/>
        <v>99882.3</v>
      </c>
      <c r="K61" s="20">
        <f t="shared" si="4"/>
        <v>916275.15</v>
      </c>
      <c r="L61" s="20"/>
      <c r="M61" s="20">
        <v>531912.15</v>
      </c>
      <c r="N61" s="20">
        <v>89134.85</v>
      </c>
      <c r="O61" s="20">
        <v>804562.15</v>
      </c>
      <c r="P61" s="20"/>
      <c r="Q61" s="20">
        <v>715234.8</v>
      </c>
      <c r="R61" s="20">
        <v>110629.75</v>
      </c>
      <c r="S61" s="20">
        <v>1027988.15</v>
      </c>
    </row>
    <row r="62" spans="1:19" ht="15">
      <c r="A62" s="40">
        <f t="shared" si="1"/>
        <v>46</v>
      </c>
      <c r="B62" s="25" t="s">
        <v>203</v>
      </c>
      <c r="C62" s="20">
        <f t="shared" si="2"/>
        <v>1585150.07</v>
      </c>
      <c r="D62" s="20">
        <f t="shared" si="3"/>
        <v>-3370825.04</v>
      </c>
      <c r="E62" s="20"/>
      <c r="F62" s="20"/>
      <c r="G62" s="20">
        <f t="shared" si="0"/>
        <v>-892837</v>
      </c>
      <c r="H62" s="20"/>
      <c r="I62" s="20">
        <f t="shared" si="4"/>
        <v>-499274.43000000005</v>
      </c>
      <c r="J62" s="20">
        <f t="shared" si="4"/>
        <v>-33135.534999999996</v>
      </c>
      <c r="K62" s="20">
        <f t="shared" si="4"/>
        <v>-360427.51999999996</v>
      </c>
      <c r="L62" s="20"/>
      <c r="M62" s="20">
        <v>567338.97</v>
      </c>
      <c r="N62" s="20">
        <v>104167.42</v>
      </c>
      <c r="O62" s="20">
        <v>913643.68</v>
      </c>
      <c r="P62" s="20"/>
      <c r="Q62" s="20">
        <f>-981619.83-1168536+584268</f>
        <v>-1565887.83</v>
      </c>
      <c r="R62" s="20">
        <v>-170438.49</v>
      </c>
      <c r="S62" s="20">
        <v>-1634498.72</v>
      </c>
    </row>
    <row r="63" spans="1:19" ht="15">
      <c r="A63" s="40">
        <f t="shared" si="1"/>
        <v>47</v>
      </c>
      <c r="B63" s="25" t="s">
        <v>436</v>
      </c>
      <c r="C63" s="20">
        <f t="shared" si="2"/>
        <v>1830398.23</v>
      </c>
      <c r="D63" s="20">
        <f t="shared" si="3"/>
        <v>1994583.65</v>
      </c>
      <c r="E63" s="20"/>
      <c r="F63" s="20"/>
      <c r="G63" s="20">
        <f t="shared" si="0"/>
        <v>1912491</v>
      </c>
      <c r="H63" s="20"/>
      <c r="I63" s="20">
        <f t="shared" si="4"/>
        <v>764741.88</v>
      </c>
      <c r="J63" s="20">
        <f t="shared" si="4"/>
        <v>40733.89</v>
      </c>
      <c r="K63" s="20">
        <f t="shared" si="4"/>
        <v>1107015.17</v>
      </c>
      <c r="L63" s="20"/>
      <c r="M63" s="20">
        <v>483367.69</v>
      </c>
      <c r="N63" s="20">
        <v>46291.98</v>
      </c>
      <c r="O63" s="20">
        <v>1300738.56</v>
      </c>
      <c r="P63" s="20"/>
      <c r="Q63" s="20">
        <f>636950.07+409166</f>
        <v>1046116.07</v>
      </c>
      <c r="R63" s="20">
        <v>35175.8</v>
      </c>
      <c r="S63" s="20">
        <v>913291.78</v>
      </c>
    </row>
    <row r="64" spans="1:19" ht="15">
      <c r="A64" s="40">
        <f t="shared" si="1"/>
        <v>48</v>
      </c>
      <c r="B64" s="25" t="s">
        <v>437</v>
      </c>
      <c r="C64" s="20">
        <f t="shared" si="2"/>
        <v>1365790.58</v>
      </c>
      <c r="D64" s="20">
        <f t="shared" si="3"/>
        <v>7184115.67</v>
      </c>
      <c r="E64" s="20"/>
      <c r="F64" s="20"/>
      <c r="G64" s="20">
        <f t="shared" si="0"/>
        <v>4274953</v>
      </c>
      <c r="H64" s="20"/>
      <c r="I64" s="20">
        <f t="shared" si="4"/>
        <v>4254217.47</v>
      </c>
      <c r="J64" s="20">
        <f t="shared" si="4"/>
        <v>0</v>
      </c>
      <c r="K64" s="20">
        <f t="shared" si="4"/>
        <v>20735.655</v>
      </c>
      <c r="L64" s="20"/>
      <c r="M64" s="20">
        <v>1345649.49</v>
      </c>
      <c r="N64" s="9">
        <v>0</v>
      </c>
      <c r="O64" s="20">
        <v>20141.09</v>
      </c>
      <c r="P64" s="20"/>
      <c r="Q64" s="20">
        <f>1415272.45+5747513</f>
        <v>7162785.45</v>
      </c>
      <c r="R64" s="20">
        <v>0</v>
      </c>
      <c r="S64" s="20">
        <v>21330.22</v>
      </c>
    </row>
    <row r="65" spans="1:19" ht="15">
      <c r="A65" s="40">
        <f t="shared" si="1"/>
        <v>49</v>
      </c>
      <c r="B65" s="25" t="s">
        <v>702</v>
      </c>
      <c r="C65" s="20">
        <f>SUM(M65:O65)</f>
        <v>0</v>
      </c>
      <c r="D65" s="20">
        <f>SUM(Q65:S65)</f>
        <v>-580407</v>
      </c>
      <c r="E65" s="20"/>
      <c r="F65" s="20"/>
      <c r="G65" s="20">
        <f>ROUND(SUM(C65:F65)/2,0)</f>
        <v>-290204</v>
      </c>
      <c r="H65" s="20"/>
      <c r="I65" s="20">
        <f t="shared" si="4"/>
        <v>-290203.5</v>
      </c>
      <c r="J65" s="20">
        <f t="shared" si="4"/>
        <v>0</v>
      </c>
      <c r="K65" s="20">
        <f t="shared" si="4"/>
        <v>0</v>
      </c>
      <c r="L65" s="20"/>
      <c r="M65" s="20">
        <v>0</v>
      </c>
      <c r="N65" s="9">
        <v>0</v>
      </c>
      <c r="O65" s="20">
        <v>0</v>
      </c>
      <c r="P65" s="20"/>
      <c r="Q65" s="20">
        <v>-580407</v>
      </c>
      <c r="R65" s="20">
        <v>0</v>
      </c>
      <c r="S65" s="20">
        <v>0</v>
      </c>
    </row>
    <row r="66" spans="1:19" ht="15">
      <c r="A66" s="40">
        <f t="shared" si="1"/>
        <v>50</v>
      </c>
      <c r="B66" s="25" t="s">
        <v>673</v>
      </c>
      <c r="C66" s="20">
        <f>SUM(M66:O66)</f>
        <v>0</v>
      </c>
      <c r="D66" s="20">
        <f>SUM(Q66:S66)</f>
        <v>24975.42</v>
      </c>
      <c r="E66" s="20"/>
      <c r="F66" s="20"/>
      <c r="G66" s="20">
        <f>ROUND(SUM(C66:F66)/2,0)</f>
        <v>12488</v>
      </c>
      <c r="H66" s="20"/>
      <c r="I66" s="20">
        <f t="shared" si="4"/>
        <v>12487.71</v>
      </c>
      <c r="J66" s="20">
        <f t="shared" si="4"/>
        <v>0</v>
      </c>
      <c r="K66" s="20">
        <f t="shared" si="4"/>
        <v>0</v>
      </c>
      <c r="L66" s="20"/>
      <c r="M66" s="20">
        <v>0</v>
      </c>
      <c r="N66" s="9">
        <v>0</v>
      </c>
      <c r="O66" s="20">
        <v>0</v>
      </c>
      <c r="P66" s="20"/>
      <c r="Q66" s="20">
        <v>24975.42</v>
      </c>
      <c r="R66" s="20">
        <v>0</v>
      </c>
      <c r="S66" s="20">
        <v>0</v>
      </c>
    </row>
    <row r="67" spans="1:19" ht="15">
      <c r="A67" s="40">
        <f t="shared" si="1"/>
        <v>51</v>
      </c>
      <c r="B67" s="25" t="s">
        <v>438</v>
      </c>
      <c r="C67" s="20">
        <f t="shared" si="2"/>
        <v>-60769.799999999996</v>
      </c>
      <c r="D67" s="20">
        <f t="shared" si="3"/>
        <v>-30309.3</v>
      </c>
      <c r="E67" s="20"/>
      <c r="F67" s="20"/>
      <c r="G67" s="20">
        <f t="shared" si="0"/>
        <v>-45540</v>
      </c>
      <c r="H67" s="20"/>
      <c r="I67" s="20">
        <f t="shared" si="4"/>
        <v>-29492.574999999997</v>
      </c>
      <c r="J67" s="20">
        <f t="shared" si="4"/>
        <v>-723.625</v>
      </c>
      <c r="K67" s="20">
        <f t="shared" si="4"/>
        <v>-15323.35</v>
      </c>
      <c r="L67" s="20"/>
      <c r="M67" s="20">
        <v>-45157.35</v>
      </c>
      <c r="N67" s="20">
        <v>-704.2</v>
      </c>
      <c r="O67" s="20">
        <v>-14908.25</v>
      </c>
      <c r="P67" s="20"/>
      <c r="Q67" s="20">
        <v>-13827.8</v>
      </c>
      <c r="R67" s="20">
        <v>-743.05</v>
      </c>
      <c r="S67" s="20">
        <v>-15738.45</v>
      </c>
    </row>
    <row r="68" spans="1:19" ht="15">
      <c r="A68" s="40">
        <f t="shared" si="1"/>
        <v>52</v>
      </c>
      <c r="B68" s="25" t="s">
        <v>210</v>
      </c>
      <c r="C68" s="20">
        <f t="shared" si="2"/>
        <v>0</v>
      </c>
      <c r="D68" s="20">
        <f t="shared" si="3"/>
        <v>0</v>
      </c>
      <c r="E68" s="20"/>
      <c r="F68" s="20"/>
      <c r="G68" s="20">
        <f t="shared" si="0"/>
        <v>0</v>
      </c>
      <c r="H68" s="20"/>
      <c r="I68" s="20">
        <f t="shared" si="4"/>
        <v>0</v>
      </c>
      <c r="J68" s="20">
        <f t="shared" si="4"/>
        <v>0</v>
      </c>
      <c r="K68" s="20">
        <f t="shared" si="4"/>
        <v>0</v>
      </c>
      <c r="L68" s="20"/>
      <c r="M68" s="9">
        <v>0</v>
      </c>
      <c r="N68" s="9"/>
      <c r="O68" s="9">
        <v>0</v>
      </c>
      <c r="P68" s="20"/>
      <c r="Q68" s="20">
        <v>0</v>
      </c>
      <c r="R68" s="20">
        <v>0</v>
      </c>
      <c r="S68" s="20">
        <v>0</v>
      </c>
    </row>
    <row r="69" spans="1:19" ht="15">
      <c r="A69" s="40">
        <f t="shared" si="1"/>
        <v>53</v>
      </c>
      <c r="B69" s="25" t="s">
        <v>439</v>
      </c>
      <c r="C69" s="20">
        <f t="shared" si="2"/>
        <v>0</v>
      </c>
      <c r="D69" s="20">
        <f t="shared" si="3"/>
        <v>158515</v>
      </c>
      <c r="E69" s="20"/>
      <c r="F69" s="20"/>
      <c r="G69" s="20">
        <f t="shared" si="0"/>
        <v>79258</v>
      </c>
      <c r="H69" s="20"/>
      <c r="I69" s="20">
        <f t="shared" si="4"/>
        <v>40110</v>
      </c>
      <c r="J69" s="20">
        <f t="shared" si="4"/>
        <v>5495</v>
      </c>
      <c r="K69" s="20">
        <f t="shared" si="4"/>
        <v>33652.5</v>
      </c>
      <c r="L69" s="20"/>
      <c r="M69" s="9">
        <v>0</v>
      </c>
      <c r="N69" s="9">
        <v>0</v>
      </c>
      <c r="O69" s="9">
        <v>0</v>
      </c>
      <c r="P69" s="20"/>
      <c r="Q69" s="20">
        <v>80220</v>
      </c>
      <c r="R69" s="20">
        <v>10990</v>
      </c>
      <c r="S69" s="20">
        <v>67305</v>
      </c>
    </row>
    <row r="70" spans="1:19" ht="15">
      <c r="A70" s="40">
        <f t="shared" si="1"/>
        <v>54</v>
      </c>
      <c r="B70" s="25" t="s">
        <v>440</v>
      </c>
      <c r="C70" s="20">
        <f t="shared" si="2"/>
        <v>26486.279999999984</v>
      </c>
      <c r="D70" s="20">
        <f t="shared" si="3"/>
        <v>-2332.7200000000157</v>
      </c>
      <c r="E70" s="20"/>
      <c r="F70" s="20"/>
      <c r="G70" s="20">
        <f t="shared" si="0"/>
        <v>12077</v>
      </c>
      <c r="H70" s="20"/>
      <c r="I70" s="20">
        <f t="shared" si="4"/>
        <v>13022.534999999996</v>
      </c>
      <c r="J70" s="20">
        <f t="shared" si="4"/>
        <v>-21.489999999997963</v>
      </c>
      <c r="K70" s="20">
        <f t="shared" si="4"/>
        <v>-924.265000000014</v>
      </c>
      <c r="L70" s="20"/>
      <c r="M70" s="20">
        <f>-126933.89+154973</f>
        <v>28039.11</v>
      </c>
      <c r="N70" s="20">
        <f>-103577.19+103548</f>
        <v>-29.19000000000233</v>
      </c>
      <c r="O70" s="20">
        <f>-156496.64+154973</f>
        <v>-1523.640000000014</v>
      </c>
      <c r="P70" s="20"/>
      <c r="Q70" s="20">
        <f>-156967.04+154973</f>
        <v>-1994.0400000000081</v>
      </c>
      <c r="R70" s="20">
        <f>-103561.79+103548</f>
        <v>-13.789999999993597</v>
      </c>
      <c r="S70" s="20">
        <f>-155297.89+154973</f>
        <v>-324.89000000001397</v>
      </c>
    </row>
    <row r="71" spans="1:19" ht="15">
      <c r="A71" s="40">
        <f t="shared" si="1"/>
        <v>55</v>
      </c>
      <c r="B71" s="25" t="s">
        <v>441</v>
      </c>
      <c r="C71" s="20">
        <f t="shared" si="2"/>
        <v>31767.4</v>
      </c>
      <c r="D71" s="20">
        <f t="shared" si="3"/>
        <v>28229.6</v>
      </c>
      <c r="E71" s="20"/>
      <c r="F71" s="20"/>
      <c r="G71" s="20">
        <f t="shared" si="0"/>
        <v>29999</v>
      </c>
      <c r="H71" s="20"/>
      <c r="I71" s="20">
        <f t="shared" si="4"/>
        <v>14792.925</v>
      </c>
      <c r="J71" s="20">
        <f t="shared" si="4"/>
        <v>669.025</v>
      </c>
      <c r="K71" s="20">
        <f t="shared" si="4"/>
        <v>14536.55</v>
      </c>
      <c r="L71" s="20"/>
      <c r="M71" s="20">
        <v>15950.9</v>
      </c>
      <c r="N71" s="20">
        <v>676.9</v>
      </c>
      <c r="O71" s="20">
        <v>15139.6</v>
      </c>
      <c r="P71" s="20"/>
      <c r="Q71" s="20">
        <v>13634.95</v>
      </c>
      <c r="R71" s="20">
        <v>661.15</v>
      </c>
      <c r="S71" s="20">
        <v>13933.5</v>
      </c>
    </row>
    <row r="72" spans="1:19" ht="15">
      <c r="A72" s="40">
        <f t="shared" si="1"/>
        <v>56</v>
      </c>
      <c r="B72" s="25" t="s">
        <v>135</v>
      </c>
      <c r="C72" s="20">
        <f t="shared" si="2"/>
        <v>0.05</v>
      </c>
      <c r="D72" s="20">
        <f t="shared" si="3"/>
        <v>3886524.05</v>
      </c>
      <c r="E72" s="20"/>
      <c r="F72" s="20"/>
      <c r="G72" s="20">
        <f t="shared" si="0"/>
        <v>1943262</v>
      </c>
      <c r="H72" s="20"/>
      <c r="I72" s="20">
        <f t="shared" si="4"/>
        <v>1943262</v>
      </c>
      <c r="J72" s="20">
        <f t="shared" si="4"/>
        <v>0</v>
      </c>
      <c r="K72" s="20">
        <f t="shared" si="4"/>
        <v>0.05</v>
      </c>
      <c r="L72" s="20"/>
      <c r="M72" s="9">
        <v>0</v>
      </c>
      <c r="N72" s="9"/>
      <c r="O72" s="20">
        <v>0.05</v>
      </c>
      <c r="P72" s="20"/>
      <c r="Q72" s="20">
        <f>2233171+1653353</f>
        <v>3886524</v>
      </c>
      <c r="R72" s="20">
        <v>0</v>
      </c>
      <c r="S72" s="20">
        <v>0.05</v>
      </c>
    </row>
    <row r="73" spans="1:19" ht="15">
      <c r="A73" s="40">
        <f t="shared" si="1"/>
        <v>57</v>
      </c>
      <c r="B73" s="25" t="s">
        <v>216</v>
      </c>
      <c r="C73" s="20">
        <f t="shared" si="2"/>
        <v>58024.75</v>
      </c>
      <c r="D73" s="20">
        <f t="shared" si="3"/>
        <v>58024.75</v>
      </c>
      <c r="E73" s="20"/>
      <c r="F73" s="20"/>
      <c r="G73" s="20">
        <f t="shared" si="0"/>
        <v>58025</v>
      </c>
      <c r="H73" s="20"/>
      <c r="I73" s="20">
        <f t="shared" si="4"/>
        <v>0</v>
      </c>
      <c r="J73" s="20">
        <f t="shared" si="4"/>
        <v>0</v>
      </c>
      <c r="K73" s="20">
        <f t="shared" si="4"/>
        <v>58024.75</v>
      </c>
      <c r="L73" s="20"/>
      <c r="M73" s="9">
        <v>0</v>
      </c>
      <c r="N73" s="9"/>
      <c r="O73" s="20">
        <v>58024.75</v>
      </c>
      <c r="P73" s="20"/>
      <c r="Q73" s="20">
        <v>0</v>
      </c>
      <c r="R73" s="20">
        <v>0</v>
      </c>
      <c r="S73" s="20">
        <v>58024.75</v>
      </c>
    </row>
    <row r="74" spans="1:19" ht="15">
      <c r="A74" s="40">
        <f t="shared" si="1"/>
        <v>58</v>
      </c>
      <c r="B74" s="25" t="s">
        <v>219</v>
      </c>
      <c r="C74" s="20">
        <f t="shared" si="2"/>
        <v>222497.18000000002</v>
      </c>
      <c r="D74" s="20">
        <f t="shared" si="3"/>
        <v>157391.24000000002</v>
      </c>
      <c r="E74" s="20"/>
      <c r="F74" s="20"/>
      <c r="G74" s="20">
        <f t="shared" si="0"/>
        <v>189944</v>
      </c>
      <c r="H74" s="20"/>
      <c r="I74" s="20">
        <f t="shared" si="4"/>
        <v>245390.88</v>
      </c>
      <c r="J74" s="20">
        <f t="shared" si="4"/>
        <v>0</v>
      </c>
      <c r="K74" s="20">
        <f t="shared" si="4"/>
        <v>-55446.67</v>
      </c>
      <c r="L74" s="20"/>
      <c r="M74" s="20">
        <v>266145.34</v>
      </c>
      <c r="N74" s="20"/>
      <c r="O74" s="20">
        <v>-43648.16</v>
      </c>
      <c r="P74" s="20"/>
      <c r="Q74" s="20">
        <v>224636.42</v>
      </c>
      <c r="R74" s="20">
        <v>0</v>
      </c>
      <c r="S74" s="20">
        <v>-67245.18</v>
      </c>
    </row>
    <row r="75" spans="1:19" ht="15">
      <c r="A75" s="40">
        <f t="shared" si="1"/>
        <v>59</v>
      </c>
      <c r="B75" s="25" t="s">
        <v>442</v>
      </c>
      <c r="C75" s="20">
        <f t="shared" si="2"/>
        <v>13134</v>
      </c>
      <c r="D75" s="20">
        <f t="shared" si="3"/>
        <v>14108</v>
      </c>
      <c r="E75" s="20"/>
      <c r="F75" s="20"/>
      <c r="G75" s="20">
        <f t="shared" si="0"/>
        <v>13621</v>
      </c>
      <c r="H75" s="20"/>
      <c r="I75" s="20">
        <f t="shared" si="4"/>
        <v>5834.5</v>
      </c>
      <c r="J75" s="20">
        <f t="shared" si="4"/>
        <v>7786.5</v>
      </c>
      <c r="K75" s="20">
        <f t="shared" si="4"/>
        <v>0</v>
      </c>
      <c r="L75" s="20"/>
      <c r="M75" s="20">
        <v>5626</v>
      </c>
      <c r="N75" s="20">
        <v>7508</v>
      </c>
      <c r="O75" s="9">
        <v>0</v>
      </c>
      <c r="P75" s="20"/>
      <c r="Q75" s="20">
        <v>6043</v>
      </c>
      <c r="R75" s="20">
        <v>8065</v>
      </c>
      <c r="S75" s="20">
        <v>0</v>
      </c>
    </row>
    <row r="76" spans="1:19" ht="15">
      <c r="A76" s="40">
        <f t="shared" si="1"/>
        <v>60</v>
      </c>
      <c r="B76" s="2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5">
      <c r="A77" s="40">
        <f t="shared" si="1"/>
        <v>61</v>
      </c>
      <c r="B77" s="20" t="s">
        <v>34</v>
      </c>
      <c r="C77" s="20">
        <v>753066.96</v>
      </c>
      <c r="D77" s="20">
        <f>832199+42413</f>
        <v>874612</v>
      </c>
      <c r="E77" s="20">
        <f aca="true" t="shared" si="5" ref="E77:F82">-C77</f>
        <v>-753066.96</v>
      </c>
      <c r="F77" s="20">
        <f t="shared" si="5"/>
        <v>-874612</v>
      </c>
      <c r="G77" s="20">
        <f aca="true" t="shared" si="6" ref="G77:G82">ROUND(SUM(C77:F77)/2,0)</f>
        <v>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5">
      <c r="A78" s="40">
        <f t="shared" si="1"/>
        <v>62</v>
      </c>
      <c r="B78" s="20" t="s">
        <v>221</v>
      </c>
      <c r="C78" s="20">
        <v>13322568.05</v>
      </c>
      <c r="D78" s="20">
        <v>24330351</v>
      </c>
      <c r="E78" s="20">
        <f t="shared" si="5"/>
        <v>-13322568.05</v>
      </c>
      <c r="F78" s="20">
        <f t="shared" si="5"/>
        <v>-24330351</v>
      </c>
      <c r="G78" s="20">
        <f t="shared" si="6"/>
        <v>0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5">
      <c r="A79" s="40">
        <f t="shared" si="1"/>
        <v>63</v>
      </c>
      <c r="B79" s="20" t="s">
        <v>222</v>
      </c>
      <c r="C79" s="20">
        <v>341340.45</v>
      </c>
      <c r="D79" s="20">
        <v>325436.98</v>
      </c>
      <c r="E79" s="20">
        <f t="shared" si="5"/>
        <v>-341340.45</v>
      </c>
      <c r="F79" s="20">
        <f t="shared" si="5"/>
        <v>-325436.98</v>
      </c>
      <c r="G79" s="20">
        <f t="shared" si="6"/>
        <v>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5">
      <c r="A80" s="40">
        <f t="shared" si="1"/>
        <v>64</v>
      </c>
      <c r="B80" s="20" t="s">
        <v>223</v>
      </c>
      <c r="C80" s="20">
        <v>91485</v>
      </c>
      <c r="D80" s="20">
        <v>20623</v>
      </c>
      <c r="E80" s="20">
        <f t="shared" si="5"/>
        <v>-91485</v>
      </c>
      <c r="F80" s="20">
        <f t="shared" si="5"/>
        <v>-20623</v>
      </c>
      <c r="G80" s="20">
        <f t="shared" si="6"/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5">
      <c r="A81" s="40">
        <f t="shared" si="1"/>
        <v>65</v>
      </c>
      <c r="B81" s="25" t="s">
        <v>224</v>
      </c>
      <c r="C81" s="20">
        <v>0</v>
      </c>
      <c r="D81" s="20">
        <v>2811185.07</v>
      </c>
      <c r="E81" s="20">
        <f t="shared" si="5"/>
        <v>0</v>
      </c>
      <c r="F81" s="20">
        <f t="shared" si="5"/>
        <v>-2811185.07</v>
      </c>
      <c r="G81" s="20">
        <f t="shared" si="6"/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5">
      <c r="A82" s="40">
        <f>A81+1</f>
        <v>66</v>
      </c>
      <c r="B82" s="25" t="s">
        <v>443</v>
      </c>
      <c r="C82" s="20">
        <v>151828</v>
      </c>
      <c r="D82" s="20">
        <v>119293.68</v>
      </c>
      <c r="E82" s="20">
        <f t="shared" si="5"/>
        <v>-151828</v>
      </c>
      <c r="F82" s="20">
        <f t="shared" si="5"/>
        <v>-119293.68</v>
      </c>
      <c r="G82" s="20">
        <f t="shared" si="6"/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5">
      <c r="A83" s="40">
        <f>A82+1</f>
        <v>67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.75" thickBot="1">
      <c r="A84" s="40">
        <f>A83+1</f>
        <v>68</v>
      </c>
      <c r="B84" s="25" t="s">
        <v>228</v>
      </c>
      <c r="C84" s="23">
        <f>SUM(C17:C83)</f>
        <v>28379701.23999999</v>
      </c>
      <c r="D84" s="23">
        <f>SUM(D17:D83)</f>
        <v>56347536.03000001</v>
      </c>
      <c r="E84" s="23">
        <f>SUM(E17:E83)</f>
        <v>-14660288.46</v>
      </c>
      <c r="F84" s="23">
        <f>SUM(F17:F83)</f>
        <v>-28481501.73</v>
      </c>
      <c r="G84" s="23">
        <f>SUM(G17:G83)</f>
        <v>20792723</v>
      </c>
      <c r="H84" s="23"/>
      <c r="I84" s="23">
        <f>SUM(I17:I83)</f>
        <v>22443818.18</v>
      </c>
      <c r="J84" s="23">
        <f>SUM(J17:J83)</f>
        <v>3210591.765</v>
      </c>
      <c r="K84" s="23">
        <f>SUM(K17:K83)</f>
        <v>-4861686.404999998</v>
      </c>
      <c r="L84" s="23"/>
      <c r="M84" s="23">
        <f>SUM(M17:M83)</f>
        <v>14051450.400000002</v>
      </c>
      <c r="N84" s="23">
        <f>SUM(N17:N83)</f>
        <v>3137219.56</v>
      </c>
      <c r="O84" s="23">
        <f>SUM(O17:O83)</f>
        <v>-3469257.18</v>
      </c>
      <c r="P84" s="20"/>
      <c r="Q84" s="23">
        <f>SUM(Q17:Q83)</f>
        <v>30836185.960000005</v>
      </c>
      <c r="R84" s="23">
        <f>SUM(R17:R83)</f>
        <v>3283963.97</v>
      </c>
      <c r="S84" s="23">
        <f>SUM(S17:S83)</f>
        <v>-6254115.63</v>
      </c>
    </row>
    <row r="85" spans="1:19" ht="15.75" thickTop="1">
      <c r="A85" s="39"/>
      <c r="B85" s="20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0"/>
      <c r="Q85" s="24"/>
      <c r="R85" s="24"/>
      <c r="S85" s="24"/>
    </row>
    <row r="86" spans="1:19" ht="15">
      <c r="A86" s="39"/>
      <c r="B86" s="20"/>
      <c r="C86" s="20"/>
      <c r="D86" s="4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72"/>
  <sheetViews>
    <sheetView showOutlineSymbols="0" zoomScale="87" zoomScaleNormal="87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S83"/>
    </sheetView>
  </sheetViews>
  <sheetFormatPr defaultColWidth="12.7109375" defaultRowHeight="15"/>
  <cols>
    <col min="1" max="1" width="4.57421875" style="3" customWidth="1"/>
    <col min="2" max="2" width="50.57421875" style="1" customWidth="1"/>
    <col min="3" max="3" width="14.57421875" style="1" customWidth="1"/>
    <col min="4" max="4" width="14.28125" style="1" customWidth="1"/>
    <col min="5" max="5" width="14.421875" style="1" customWidth="1"/>
    <col min="6" max="6" width="17.00390625" style="1" customWidth="1"/>
    <col min="7" max="7" width="16.7109375" style="1" hidden="1" customWidth="1"/>
    <col min="8" max="8" width="3.8515625" style="1" hidden="1" customWidth="1"/>
    <col min="9" max="11" width="16.7109375" style="1" hidden="1" customWidth="1"/>
    <col min="12" max="12" width="4.140625" style="1" customWidth="1"/>
    <col min="13" max="13" width="14.00390625" style="1" customWidth="1"/>
    <col min="14" max="14" width="15.8515625" style="1" customWidth="1"/>
    <col min="15" max="15" width="15.140625" style="1" customWidth="1"/>
    <col min="16" max="16" width="2.57421875" style="1" customWidth="1"/>
    <col min="17" max="17" width="12.8515625" style="1" customWidth="1"/>
    <col min="18" max="18" width="15.140625" style="1" customWidth="1"/>
    <col min="19" max="19" width="16.8515625" style="1" customWidth="1"/>
    <col min="20" max="16384" width="12.7109375" style="1" customWidth="1"/>
  </cols>
  <sheetData>
    <row r="1" spans="1:19" ht="15">
      <c r="A1" s="7"/>
      <c r="B1" s="8" t="s">
        <v>444</v>
      </c>
      <c r="C1" s="9"/>
      <c r="D1" s="9"/>
      <c r="E1" s="9"/>
      <c r="F1" s="9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10"/>
    </row>
    <row r="2" spans="1:19" ht="15">
      <c r="A2" s="7"/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10"/>
    </row>
    <row r="3" spans="1:19" ht="15">
      <c r="A3" s="7"/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7"/>
      <c r="B4" s="9"/>
      <c r="C4" s="9"/>
      <c r="D4" s="9"/>
      <c r="E4" s="9"/>
      <c r="F4" s="9"/>
      <c r="G4" s="11" t="s">
        <v>2</v>
      </c>
      <c r="H4" s="11"/>
      <c r="I4" s="11"/>
      <c r="J4" s="11"/>
      <c r="K4" s="11"/>
      <c r="L4" s="11"/>
      <c r="M4" s="9"/>
      <c r="N4" s="9"/>
      <c r="O4" s="9"/>
      <c r="P4" s="9"/>
      <c r="Q4" s="9"/>
      <c r="R4" s="9"/>
      <c r="S4" s="9"/>
    </row>
    <row r="5" spans="1:19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13" t="s">
        <v>13</v>
      </c>
      <c r="O8" s="13" t="s">
        <v>14</v>
      </c>
      <c r="P8" s="9"/>
      <c r="Q8" s="13" t="s">
        <v>15</v>
      </c>
      <c r="R8" s="13" t="s">
        <v>16</v>
      </c>
      <c r="S8" s="13" t="s">
        <v>17</v>
      </c>
    </row>
    <row r="9" spans="1:19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17" t="s">
        <v>22</v>
      </c>
      <c r="N10" s="14"/>
      <c r="O10" s="14"/>
      <c r="P10" s="9"/>
      <c r="Q10" s="37" t="s">
        <v>659</v>
      </c>
      <c r="R10" s="14"/>
      <c r="S10" s="14"/>
    </row>
    <row r="11" spans="1:19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</row>
    <row r="12" spans="1:19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</row>
    <row r="13" spans="1:19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13" t="s">
        <v>30</v>
      </c>
      <c r="O13" s="13" t="s">
        <v>31</v>
      </c>
      <c r="P13" s="9"/>
      <c r="Q13" s="13" t="s">
        <v>29</v>
      </c>
      <c r="R13" s="13" t="s">
        <v>30</v>
      </c>
      <c r="S13" s="13" t="s">
        <v>31</v>
      </c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7"/>
      <c r="B15" s="19" t="s">
        <v>32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>
      <c r="A16" s="7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>
      <c r="A17" s="22">
        <v>1</v>
      </c>
      <c r="B17" s="10" t="s">
        <v>77</v>
      </c>
      <c r="C17" s="20">
        <f>SUM(M17:O17)</f>
        <v>0</v>
      </c>
      <c r="D17" s="20">
        <f>SUM(Q17:S17)</f>
        <v>0</v>
      </c>
      <c r="E17" s="20"/>
      <c r="F17" s="20"/>
      <c r="G17" s="20">
        <f>ROUND(SUM(C17:F17)/2,0)</f>
        <v>0</v>
      </c>
      <c r="H17" s="20"/>
      <c r="I17" s="20">
        <f aca="true" t="shared" si="0" ref="I17:K18">(+M17+Q17)/2</f>
        <v>0</v>
      </c>
      <c r="J17" s="20">
        <f t="shared" si="0"/>
        <v>0</v>
      </c>
      <c r="K17" s="20">
        <f t="shared" si="0"/>
        <v>0</v>
      </c>
      <c r="L17" s="20"/>
      <c r="M17" s="20">
        <v>0</v>
      </c>
      <c r="N17" s="20">
        <v>0</v>
      </c>
      <c r="O17" s="20">
        <v>0</v>
      </c>
      <c r="P17" s="20"/>
      <c r="Q17" s="20">
        <v>0</v>
      </c>
      <c r="R17" s="20">
        <v>0</v>
      </c>
      <c r="S17" s="20">
        <v>0</v>
      </c>
    </row>
    <row r="18" spans="1:19" ht="15">
      <c r="A18" s="22">
        <f aca="true" t="shared" si="1" ref="A18:A77">A17+1</f>
        <v>2</v>
      </c>
      <c r="B18" s="10"/>
      <c r="C18" s="20">
        <f>SUM(M18:O18)</f>
        <v>0</v>
      </c>
      <c r="D18" s="20">
        <f>SUM(Q18:S18)</f>
        <v>0</v>
      </c>
      <c r="E18" s="20"/>
      <c r="F18" s="20"/>
      <c r="G18" s="20">
        <f>ROUND(SUM(C18:F18)/2,0)</f>
        <v>0</v>
      </c>
      <c r="H18" s="20"/>
      <c r="I18" s="20">
        <f t="shared" si="0"/>
        <v>0</v>
      </c>
      <c r="J18" s="20">
        <f t="shared" si="0"/>
        <v>0</v>
      </c>
      <c r="K18" s="20">
        <f t="shared" si="0"/>
        <v>0</v>
      </c>
      <c r="L18" s="20"/>
      <c r="M18" s="20">
        <v>0</v>
      </c>
      <c r="N18" s="20">
        <v>0</v>
      </c>
      <c r="O18" s="20">
        <v>0</v>
      </c>
      <c r="P18" s="20"/>
      <c r="Q18" s="20">
        <v>0</v>
      </c>
      <c r="R18" s="20">
        <v>0</v>
      </c>
      <c r="S18" s="20">
        <v>0</v>
      </c>
    </row>
    <row r="19" spans="1:19" ht="15">
      <c r="A19" s="22">
        <f t="shared" si="1"/>
        <v>3</v>
      </c>
      <c r="B19" s="10" t="s">
        <v>34</v>
      </c>
      <c r="C19" s="20">
        <v>0</v>
      </c>
      <c r="D19" s="20">
        <v>0</v>
      </c>
      <c r="E19" s="20">
        <f aca="true" t="shared" si="2" ref="E19:F21">-C19</f>
        <v>0</v>
      </c>
      <c r="F19" s="20">
        <f t="shared" si="2"/>
        <v>0</v>
      </c>
      <c r="G19" s="20">
        <f>ROUND(SUM(C19:F19)/2,0)</f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>
      <c r="A20" s="22">
        <f t="shared" si="1"/>
        <v>4</v>
      </c>
      <c r="B20" s="10" t="s">
        <v>35</v>
      </c>
      <c r="C20" s="20">
        <v>0</v>
      </c>
      <c r="D20" s="20">
        <v>0</v>
      </c>
      <c r="E20" s="20">
        <f t="shared" si="2"/>
        <v>0</v>
      </c>
      <c r="F20" s="20">
        <f t="shared" si="2"/>
        <v>0</v>
      </c>
      <c r="G20" s="20">
        <f>ROUND(SUM(C20:F20)/2,0)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>
      <c r="A21" s="22">
        <f t="shared" si="1"/>
        <v>5</v>
      </c>
      <c r="B21" s="10" t="s">
        <v>36</v>
      </c>
      <c r="C21" s="20">
        <v>0</v>
      </c>
      <c r="D21" s="20">
        <v>0</v>
      </c>
      <c r="E21" s="20">
        <f t="shared" si="2"/>
        <v>0</v>
      </c>
      <c r="F21" s="20">
        <f t="shared" si="2"/>
        <v>0</v>
      </c>
      <c r="G21" s="20">
        <f>ROUND(SUM(C21:F21)/2,0)</f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2">
        <f t="shared" si="1"/>
        <v>6</v>
      </c>
      <c r="B22" s="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.75" thickBot="1">
      <c r="A23" s="22">
        <f t="shared" si="1"/>
        <v>7</v>
      </c>
      <c r="B23" s="19" t="s">
        <v>37</v>
      </c>
      <c r="C23" s="23">
        <f aca="true" t="shared" si="3" ref="C23:N23">SUM(C17:C22)</f>
        <v>0</v>
      </c>
      <c r="D23" s="23">
        <f t="shared" si="3"/>
        <v>0</v>
      </c>
      <c r="E23" s="23">
        <f t="shared" si="3"/>
        <v>0</v>
      </c>
      <c r="F23" s="23">
        <f t="shared" si="3"/>
        <v>0</v>
      </c>
      <c r="G23" s="23">
        <f t="shared" si="3"/>
        <v>0</v>
      </c>
      <c r="H23" s="23"/>
      <c r="I23" s="23">
        <f>SUM(I17:I22)</f>
        <v>0</v>
      </c>
      <c r="J23" s="23">
        <f>SUM(J17:J22)</f>
        <v>0</v>
      </c>
      <c r="K23" s="23">
        <f>SUM(K17:K22)</f>
        <v>0</v>
      </c>
      <c r="L23" s="23"/>
      <c r="M23" s="23">
        <f t="shared" si="3"/>
        <v>0</v>
      </c>
      <c r="N23" s="23">
        <f t="shared" si="3"/>
        <v>0</v>
      </c>
      <c r="O23" s="23">
        <f>SUM(O17:O22)</f>
        <v>0</v>
      </c>
      <c r="P23" s="20"/>
      <c r="Q23" s="23">
        <f>SUM(Q17:Q22)</f>
        <v>0</v>
      </c>
      <c r="R23" s="23">
        <f>SUM(R17:R22)</f>
        <v>0</v>
      </c>
      <c r="S23" s="23">
        <f>SUM(S17:S22)</f>
        <v>0</v>
      </c>
    </row>
    <row r="24" spans="1:19" ht="15.75" thickTop="1">
      <c r="A24" s="22">
        <f t="shared" si="1"/>
        <v>8</v>
      </c>
      <c r="B24" s="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0"/>
      <c r="Q24" s="24"/>
      <c r="R24" s="24"/>
      <c r="S24" s="24"/>
    </row>
    <row r="25" spans="1:19" ht="15">
      <c r="A25" s="22">
        <f t="shared" si="1"/>
        <v>9</v>
      </c>
      <c r="B25" s="10" t="s">
        <v>38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">
      <c r="A26" s="22">
        <f t="shared" si="1"/>
        <v>10</v>
      </c>
      <c r="B26" s="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">
      <c r="A27" s="22">
        <f t="shared" si="1"/>
        <v>11</v>
      </c>
      <c r="B27" s="19" t="s">
        <v>445</v>
      </c>
      <c r="C27" s="20">
        <f aca="true" t="shared" si="4" ref="C27:C33">SUM(M27:O27)</f>
        <v>14905694.1</v>
      </c>
      <c r="D27" s="20">
        <f aca="true" t="shared" si="5" ref="D27:D33">SUM(Q27:S27)</f>
        <v>17436757.1</v>
      </c>
      <c r="E27" s="20"/>
      <c r="F27" s="20"/>
      <c r="G27" s="20">
        <f aca="true" t="shared" si="6" ref="G27:G38">ROUND(SUM(C27:F27)/2,0)</f>
        <v>16171226</v>
      </c>
      <c r="H27" s="20"/>
      <c r="I27" s="20">
        <f aca="true" t="shared" si="7" ref="I27:K35">(+M27+Q27)/2</f>
        <v>0</v>
      </c>
      <c r="J27" s="20">
        <f t="shared" si="7"/>
        <v>3764244.075</v>
      </c>
      <c r="K27" s="20">
        <f t="shared" si="7"/>
        <v>12406981.524999999</v>
      </c>
      <c r="L27" s="20"/>
      <c r="M27" s="20">
        <v>0</v>
      </c>
      <c r="N27" s="20">
        <f>3167179.65+7985</f>
        <v>3175164.65</v>
      </c>
      <c r="O27" s="20">
        <f>11727634.45+2895</f>
        <v>11730529.45</v>
      </c>
      <c r="P27" s="20"/>
      <c r="Q27" s="20">
        <v>0</v>
      </c>
      <c r="R27" s="20">
        <f>4346501.5+6822</f>
        <v>4353323.5</v>
      </c>
      <c r="S27" s="20">
        <f>13080814.6+2619</f>
        <v>13083433.6</v>
      </c>
    </row>
    <row r="28" spans="1:19" ht="15">
      <c r="A28" s="22">
        <f t="shared" si="1"/>
        <v>12</v>
      </c>
      <c r="B28" s="19" t="s">
        <v>50</v>
      </c>
      <c r="C28" s="20">
        <f t="shared" si="4"/>
        <v>0</v>
      </c>
      <c r="D28" s="20">
        <f t="shared" si="5"/>
        <v>0</v>
      </c>
      <c r="E28" s="20"/>
      <c r="F28" s="20"/>
      <c r="G28" s="20">
        <f>ROUND(SUM(C28:F28)/2,0)</f>
        <v>0</v>
      </c>
      <c r="H28" s="20"/>
      <c r="I28" s="20">
        <f t="shared" si="7"/>
        <v>0</v>
      </c>
      <c r="J28" s="20">
        <f t="shared" si="7"/>
        <v>0</v>
      </c>
      <c r="K28" s="20">
        <f t="shared" si="7"/>
        <v>0</v>
      </c>
      <c r="L28" s="20"/>
      <c r="M28" s="20">
        <v>0</v>
      </c>
      <c r="N28" s="20">
        <v>0</v>
      </c>
      <c r="O28" s="20">
        <v>0</v>
      </c>
      <c r="P28" s="20"/>
      <c r="Q28" s="20">
        <v>0</v>
      </c>
      <c r="R28" s="20">
        <v>0</v>
      </c>
      <c r="S28" s="20">
        <v>0</v>
      </c>
    </row>
    <row r="29" spans="1:19" ht="15">
      <c r="A29" s="22">
        <f t="shared" si="1"/>
        <v>13</v>
      </c>
      <c r="B29" s="19" t="s">
        <v>446</v>
      </c>
      <c r="C29" s="20">
        <f t="shared" si="4"/>
        <v>-2207.8</v>
      </c>
      <c r="D29" s="20">
        <f t="shared" si="5"/>
        <v>-1944.25</v>
      </c>
      <c r="E29" s="20"/>
      <c r="F29" s="20"/>
      <c r="G29" s="20">
        <f>ROUND(SUM(C29:F29)/2,0)</f>
        <v>-2076</v>
      </c>
      <c r="H29" s="20"/>
      <c r="I29" s="20">
        <f t="shared" si="7"/>
        <v>0</v>
      </c>
      <c r="J29" s="20">
        <f t="shared" si="7"/>
        <v>-2808.2250000000004</v>
      </c>
      <c r="K29" s="20">
        <f t="shared" si="7"/>
        <v>732.2</v>
      </c>
      <c r="L29" s="20"/>
      <c r="M29" s="20">
        <v>0</v>
      </c>
      <c r="N29" s="20">
        <v>-2986.55</v>
      </c>
      <c r="O29" s="20">
        <v>778.75</v>
      </c>
      <c r="P29" s="20"/>
      <c r="Q29" s="20">
        <v>0</v>
      </c>
      <c r="R29" s="20">
        <v>-2629.9</v>
      </c>
      <c r="S29" s="20">
        <v>685.65</v>
      </c>
    </row>
    <row r="30" spans="1:19" ht="15">
      <c r="A30" s="22">
        <f t="shared" si="1"/>
        <v>14</v>
      </c>
      <c r="B30" s="19" t="s">
        <v>447</v>
      </c>
      <c r="C30" s="20">
        <f t="shared" si="4"/>
        <v>10420.9</v>
      </c>
      <c r="D30" s="20">
        <f t="shared" si="5"/>
        <v>9224.25</v>
      </c>
      <c r="E30" s="20"/>
      <c r="F30" s="20"/>
      <c r="G30" s="20">
        <f>ROUND(SUM(C30:F30)/2,0)</f>
        <v>9823</v>
      </c>
      <c r="H30" s="20"/>
      <c r="I30" s="20">
        <f t="shared" si="7"/>
        <v>0</v>
      </c>
      <c r="J30" s="20">
        <f t="shared" si="7"/>
        <v>0</v>
      </c>
      <c r="K30" s="20">
        <f t="shared" si="7"/>
        <v>9822.575</v>
      </c>
      <c r="L30" s="20"/>
      <c r="M30" s="20">
        <v>0</v>
      </c>
      <c r="N30" s="20">
        <v>0</v>
      </c>
      <c r="O30" s="20">
        <v>10420.9</v>
      </c>
      <c r="P30" s="20"/>
      <c r="Q30" s="20">
        <v>0</v>
      </c>
      <c r="R30" s="20">
        <v>0</v>
      </c>
      <c r="S30" s="20">
        <v>9224.25</v>
      </c>
    </row>
    <row r="31" spans="1:19" ht="15">
      <c r="A31" s="22">
        <f t="shared" si="1"/>
        <v>15</v>
      </c>
      <c r="B31" s="19" t="s">
        <v>48</v>
      </c>
      <c r="C31" s="20">
        <f t="shared" si="4"/>
        <v>1221979.45</v>
      </c>
      <c r="D31" s="20">
        <f t="shared" si="5"/>
        <v>1245962.3</v>
      </c>
      <c r="E31" s="20"/>
      <c r="F31" s="20"/>
      <c r="G31" s="20">
        <f t="shared" si="6"/>
        <v>1233971</v>
      </c>
      <c r="H31" s="20"/>
      <c r="I31" s="20">
        <f t="shared" si="7"/>
        <v>0</v>
      </c>
      <c r="J31" s="20">
        <f t="shared" si="7"/>
        <v>78911.325</v>
      </c>
      <c r="K31" s="20">
        <f t="shared" si="7"/>
        <v>1155059.55</v>
      </c>
      <c r="L31" s="20"/>
      <c r="M31" s="20">
        <v>0</v>
      </c>
      <c r="N31" s="20">
        <f>121073.9-48024</f>
        <v>73049.9</v>
      </c>
      <c r="O31" s="20">
        <f>1678259.55-529330</f>
        <v>1148929.55</v>
      </c>
      <c r="P31" s="20"/>
      <c r="Q31" s="20">
        <v>0</v>
      </c>
      <c r="R31" s="20">
        <f>137660.75-52888</f>
        <v>84772.75</v>
      </c>
      <c r="S31" s="20">
        <f>1750051.55-588862</f>
        <v>1161189.55</v>
      </c>
    </row>
    <row r="32" spans="1:19" ht="15">
      <c r="A32" s="22">
        <f t="shared" si="1"/>
        <v>16</v>
      </c>
      <c r="B32" s="10" t="s">
        <v>56</v>
      </c>
      <c r="C32" s="20">
        <f t="shared" si="4"/>
        <v>474</v>
      </c>
      <c r="D32" s="20">
        <f t="shared" si="5"/>
        <v>17</v>
      </c>
      <c r="E32" s="20"/>
      <c r="F32" s="20"/>
      <c r="G32" s="20">
        <f t="shared" si="6"/>
        <v>246</v>
      </c>
      <c r="H32" s="20"/>
      <c r="I32" s="20">
        <f t="shared" si="7"/>
        <v>0</v>
      </c>
      <c r="J32" s="20">
        <f t="shared" si="7"/>
        <v>52.5</v>
      </c>
      <c r="K32" s="20">
        <f t="shared" si="7"/>
        <v>193</v>
      </c>
      <c r="L32" s="20"/>
      <c r="M32" s="20">
        <v>0</v>
      </c>
      <c r="N32" s="20">
        <v>88</v>
      </c>
      <c r="O32" s="20">
        <v>386</v>
      </c>
      <c r="P32" s="20"/>
      <c r="Q32" s="20">
        <v>0</v>
      </c>
      <c r="R32" s="20">
        <v>17</v>
      </c>
      <c r="S32" s="20">
        <v>0</v>
      </c>
    </row>
    <row r="33" spans="1:19" ht="15">
      <c r="A33" s="22">
        <f t="shared" si="1"/>
        <v>17</v>
      </c>
      <c r="B33" s="10" t="s">
        <v>58</v>
      </c>
      <c r="C33" s="20">
        <f t="shared" si="4"/>
        <v>406482.05</v>
      </c>
      <c r="D33" s="20">
        <f t="shared" si="5"/>
        <v>367389.05</v>
      </c>
      <c r="E33" s="20"/>
      <c r="F33" s="20"/>
      <c r="G33" s="20">
        <f t="shared" si="6"/>
        <v>386936</v>
      </c>
      <c r="H33" s="20"/>
      <c r="I33" s="20">
        <f t="shared" si="7"/>
        <v>0</v>
      </c>
      <c r="J33" s="20">
        <f t="shared" si="7"/>
        <v>22479.550000000003</v>
      </c>
      <c r="K33" s="20">
        <f t="shared" si="7"/>
        <v>364456</v>
      </c>
      <c r="L33" s="20"/>
      <c r="M33" s="20">
        <v>0</v>
      </c>
      <c r="N33" s="20">
        <f>109056.55-84890</f>
        <v>24166.550000000003</v>
      </c>
      <c r="O33" s="20">
        <f>1136163.5-753848</f>
        <v>382315.5</v>
      </c>
      <c r="P33" s="20"/>
      <c r="Q33" s="20">
        <v>0</v>
      </c>
      <c r="R33" s="20">
        <f>109056.55-88264</f>
        <v>20792.550000000003</v>
      </c>
      <c r="S33" s="20">
        <f>1136163.5-789567</f>
        <v>346596.5</v>
      </c>
    </row>
    <row r="34" spans="1:19" ht="15">
      <c r="A34" s="22">
        <f t="shared" si="1"/>
        <v>18</v>
      </c>
      <c r="B34" s="19" t="s">
        <v>61</v>
      </c>
      <c r="C34" s="20">
        <f>SUM(M34:O34)</f>
        <v>170823.75</v>
      </c>
      <c r="D34" s="20">
        <f>SUM(Q34:S34)</f>
        <v>206216.59999999998</v>
      </c>
      <c r="E34" s="20"/>
      <c r="F34" s="20"/>
      <c r="G34" s="20">
        <f>ROUND(SUM(C34:F34)/2,0)</f>
        <v>188520</v>
      </c>
      <c r="H34" s="20"/>
      <c r="I34" s="20">
        <f t="shared" si="7"/>
        <v>0</v>
      </c>
      <c r="J34" s="20">
        <f t="shared" si="7"/>
        <v>-25602.550000000003</v>
      </c>
      <c r="K34" s="20">
        <f t="shared" si="7"/>
        <v>214122.72499999998</v>
      </c>
      <c r="L34" s="20"/>
      <c r="M34" s="20">
        <v>0</v>
      </c>
      <c r="N34" s="20">
        <f>-33762.05+7597</f>
        <v>-26165.050000000003</v>
      </c>
      <c r="O34" s="20">
        <f>211976.8-14988</f>
        <v>196988.8</v>
      </c>
      <c r="P34" s="20"/>
      <c r="Q34" s="20">
        <v>0</v>
      </c>
      <c r="R34" s="20">
        <f>-33762.05+8722</f>
        <v>-25040.050000000003</v>
      </c>
      <c r="S34" s="20">
        <f>255485.65-24229</f>
        <v>231256.65</v>
      </c>
    </row>
    <row r="35" spans="1:19" ht="15">
      <c r="A35" s="22">
        <f t="shared" si="1"/>
        <v>19</v>
      </c>
      <c r="B35" s="19" t="s">
        <v>65</v>
      </c>
      <c r="C35" s="20">
        <f>SUM(M35:O35)</f>
        <v>-3661.7</v>
      </c>
      <c r="D35" s="20">
        <f>SUM(Q35:S35)</f>
        <v>-3661.7</v>
      </c>
      <c r="E35" s="20"/>
      <c r="F35" s="20"/>
      <c r="G35" s="20">
        <f>ROUND(SUM(C35:F35)/2,0)</f>
        <v>-3662</v>
      </c>
      <c r="H35" s="20"/>
      <c r="I35" s="20">
        <f t="shared" si="7"/>
        <v>0</v>
      </c>
      <c r="J35" s="20">
        <f t="shared" si="7"/>
        <v>81.9</v>
      </c>
      <c r="K35" s="20">
        <f t="shared" si="7"/>
        <v>-3743.6</v>
      </c>
      <c r="L35" s="20"/>
      <c r="M35" s="20">
        <v>0</v>
      </c>
      <c r="N35" s="20">
        <v>81.9</v>
      </c>
      <c r="O35" s="20">
        <v>-3743.6</v>
      </c>
      <c r="P35" s="20"/>
      <c r="Q35" s="20">
        <v>0</v>
      </c>
      <c r="R35" s="20">
        <v>81.9</v>
      </c>
      <c r="S35" s="20">
        <v>-3743.6</v>
      </c>
    </row>
    <row r="36" spans="1:19" ht="15">
      <c r="A36" s="22">
        <f t="shared" si="1"/>
        <v>20</v>
      </c>
      <c r="B36" s="10" t="s">
        <v>34</v>
      </c>
      <c r="C36" s="20">
        <v>258.15</v>
      </c>
      <c r="D36" s="20">
        <v>258.15</v>
      </c>
      <c r="E36" s="20">
        <f aca="true" t="shared" si="8" ref="E36:F38">-C36</f>
        <v>-258.15</v>
      </c>
      <c r="F36" s="20">
        <f t="shared" si="8"/>
        <v>-258.15</v>
      </c>
      <c r="G36" s="20">
        <f t="shared" si="6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>
      <c r="A37" s="22">
        <f t="shared" si="1"/>
        <v>21</v>
      </c>
      <c r="B37" s="10" t="s">
        <v>73</v>
      </c>
      <c r="C37" s="20">
        <f>-173892.07+1737524.46</f>
        <v>1563632.39</v>
      </c>
      <c r="D37" s="20">
        <v>1898305.81</v>
      </c>
      <c r="E37" s="20">
        <f t="shared" si="8"/>
        <v>-1563632.39</v>
      </c>
      <c r="F37" s="20">
        <f t="shared" si="8"/>
        <v>-1898305.81</v>
      </c>
      <c r="G37" s="20">
        <f t="shared" si="6"/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22">
        <f t="shared" si="1"/>
        <v>22</v>
      </c>
      <c r="B38" s="10" t="s">
        <v>74</v>
      </c>
      <c r="C38" s="20">
        <f>-7985-2895</f>
        <v>-10880</v>
      </c>
      <c r="D38" s="20">
        <v>-9441</v>
      </c>
      <c r="E38" s="20">
        <f t="shared" si="8"/>
        <v>10880</v>
      </c>
      <c r="F38" s="20">
        <f t="shared" si="8"/>
        <v>9441</v>
      </c>
      <c r="G38" s="20">
        <f t="shared" si="6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>
      <c r="A39" s="22">
        <f t="shared" si="1"/>
        <v>23</v>
      </c>
      <c r="B39" s="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5.75" thickBot="1">
      <c r="A40" s="22">
        <f t="shared" si="1"/>
        <v>24</v>
      </c>
      <c r="B40" s="10" t="s">
        <v>75</v>
      </c>
      <c r="C40" s="23">
        <f>SUM(C27:C39)</f>
        <v>18263015.29</v>
      </c>
      <c r="D40" s="23">
        <f>SUM(D27:D39)</f>
        <v>21149083.310000002</v>
      </c>
      <c r="E40" s="23">
        <f>SUM(E27:E39)</f>
        <v>-1553010.5399999998</v>
      </c>
      <c r="F40" s="23">
        <f>SUM(F27:F39)</f>
        <v>-1889122.96</v>
      </c>
      <c r="G40" s="23">
        <f>SUM(G27:G39)</f>
        <v>17984984</v>
      </c>
      <c r="H40" s="23"/>
      <c r="I40" s="23">
        <f>SUM(I27:I39)</f>
        <v>0</v>
      </c>
      <c r="J40" s="23">
        <f>SUM(J27:J39)</f>
        <v>3837358.575</v>
      </c>
      <c r="K40" s="23">
        <f>SUM(K27:K39)</f>
        <v>14147623.974999998</v>
      </c>
      <c r="L40" s="23"/>
      <c r="M40" s="23">
        <f>SUM(M27:M39)</f>
        <v>0</v>
      </c>
      <c r="N40" s="23">
        <f>SUM(N27:N39)</f>
        <v>3243399.4</v>
      </c>
      <c r="O40" s="23">
        <f>SUM(O27:O39)</f>
        <v>13466605.350000001</v>
      </c>
      <c r="P40" s="20"/>
      <c r="Q40" s="23">
        <f>SUM(Q27:Q39)</f>
        <v>0</v>
      </c>
      <c r="R40" s="23">
        <f>SUM(R27:R39)</f>
        <v>4431317.75</v>
      </c>
      <c r="S40" s="23">
        <f>SUM(S27:S39)</f>
        <v>14828642.600000001</v>
      </c>
    </row>
    <row r="41" spans="1:19" ht="15.75" thickTop="1">
      <c r="A41" s="22">
        <f t="shared" si="1"/>
        <v>25</v>
      </c>
      <c r="B41" s="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0"/>
      <c r="Q41" s="24"/>
      <c r="R41" s="24"/>
      <c r="S41" s="24"/>
    </row>
    <row r="42" spans="1:19" ht="15">
      <c r="A42" s="22">
        <f t="shared" si="1"/>
        <v>26</v>
      </c>
      <c r="B42" s="19" t="s">
        <v>76</v>
      </c>
      <c r="C42" s="20" t="s">
        <v>77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5">
      <c r="A43" s="22">
        <f t="shared" si="1"/>
        <v>27</v>
      </c>
      <c r="B43" s="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5">
      <c r="A44" s="22">
        <f t="shared" si="1"/>
        <v>28</v>
      </c>
      <c r="B44" s="19" t="s">
        <v>89</v>
      </c>
      <c r="C44" s="20">
        <f aca="true" t="shared" si="9" ref="C44:C52">SUM(M44:O44)</f>
        <v>-2990258.6</v>
      </c>
      <c r="D44" s="20">
        <f aca="true" t="shared" si="10" ref="D44:D52">SUM(Q44:S44)</f>
        <v>-2182958.75</v>
      </c>
      <c r="E44" s="20"/>
      <c r="F44" s="20"/>
      <c r="G44" s="20">
        <f>ROUND(SUM(C44:F44)/2,0)</f>
        <v>-2586609</v>
      </c>
      <c r="H44" s="20"/>
      <c r="I44" s="20">
        <f aca="true" t="shared" si="11" ref="I44:K45">(+M44+Q44)/2</f>
        <v>0</v>
      </c>
      <c r="J44" s="20">
        <f t="shared" si="11"/>
        <v>-483081.725</v>
      </c>
      <c r="K44" s="20">
        <f t="shared" si="11"/>
        <v>-2103526.95</v>
      </c>
      <c r="L44" s="20"/>
      <c r="M44" s="20">
        <v>0</v>
      </c>
      <c r="N44" s="20">
        <v>-556502.1</v>
      </c>
      <c r="O44" s="20">
        <v>-2433756.5</v>
      </c>
      <c r="P44" s="20"/>
      <c r="Q44" s="20">
        <v>0</v>
      </c>
      <c r="R44" s="20">
        <v>-409661.35</v>
      </c>
      <c r="S44" s="20">
        <v>-1773297.4</v>
      </c>
    </row>
    <row r="45" spans="1:19" ht="15">
      <c r="A45" s="22">
        <f t="shared" si="1"/>
        <v>29</v>
      </c>
      <c r="B45" s="19" t="s">
        <v>433</v>
      </c>
      <c r="C45" s="20">
        <f>SUM(M45:O45)</f>
        <v>483787.58999999997</v>
      </c>
      <c r="D45" s="20">
        <f>SUM(Q45:S45)</f>
        <v>713793.37</v>
      </c>
      <c r="E45" s="20"/>
      <c r="F45" s="20"/>
      <c r="G45" s="20">
        <f>ROUND(SUM(C45:F45)/2,0)</f>
        <v>598790</v>
      </c>
      <c r="H45" s="20"/>
      <c r="I45" s="20">
        <f t="shared" si="11"/>
        <v>0</v>
      </c>
      <c r="J45" s="20">
        <f t="shared" si="11"/>
        <v>0.1</v>
      </c>
      <c r="K45" s="20">
        <f t="shared" si="11"/>
        <v>598790.38</v>
      </c>
      <c r="L45" s="20"/>
      <c r="M45" s="20">
        <v>0</v>
      </c>
      <c r="N45" s="20">
        <v>0.1</v>
      </c>
      <c r="O45" s="20">
        <v>483787.49</v>
      </c>
      <c r="P45" s="20"/>
      <c r="Q45" s="20">
        <v>0</v>
      </c>
      <c r="R45" s="20">
        <v>0.1</v>
      </c>
      <c r="S45" s="20">
        <v>713793.27</v>
      </c>
    </row>
    <row r="46" spans="1:19" ht="15">
      <c r="A46" s="22">
        <f t="shared" si="1"/>
        <v>30</v>
      </c>
      <c r="B46" s="10" t="s">
        <v>448</v>
      </c>
      <c r="C46" s="20">
        <f t="shared" si="9"/>
        <v>2084</v>
      </c>
      <c r="D46" s="20">
        <f t="shared" si="10"/>
        <v>2084</v>
      </c>
      <c r="E46" s="20"/>
      <c r="F46" s="20"/>
      <c r="G46" s="20">
        <f aca="true" t="shared" si="12" ref="G46:G55">ROUND(SUM(C46:F46)/2,0)</f>
        <v>2084</v>
      </c>
      <c r="H46" s="20"/>
      <c r="I46" s="20">
        <f>(+M46+Q46)/2</f>
        <v>0</v>
      </c>
      <c r="J46" s="20">
        <f>(+N46+R46)/2</f>
        <v>2084</v>
      </c>
      <c r="K46" s="20">
        <f>(+O46+S46)/2</f>
        <v>0</v>
      </c>
      <c r="L46" s="20"/>
      <c r="M46" s="20">
        <v>0</v>
      </c>
      <c r="N46" s="20">
        <v>2084</v>
      </c>
      <c r="O46" s="20">
        <v>0</v>
      </c>
      <c r="P46" s="20"/>
      <c r="Q46" s="20">
        <v>0</v>
      </c>
      <c r="R46" s="20">
        <v>2084</v>
      </c>
      <c r="S46" s="20">
        <v>0</v>
      </c>
    </row>
    <row r="47" spans="1:19" ht="15">
      <c r="A47" s="22">
        <f t="shared" si="1"/>
        <v>31</v>
      </c>
      <c r="B47" s="19" t="s">
        <v>102</v>
      </c>
      <c r="C47" s="20">
        <f t="shared" si="9"/>
        <v>2990258.6</v>
      </c>
      <c r="D47" s="20">
        <f t="shared" si="10"/>
        <v>2182958.75</v>
      </c>
      <c r="E47" s="20"/>
      <c r="F47" s="20"/>
      <c r="G47" s="20">
        <f>ROUND(SUM(C47:F47)/2,0)</f>
        <v>2586609</v>
      </c>
      <c r="H47" s="20"/>
      <c r="I47" s="20">
        <f aca="true" t="shared" si="13" ref="I47:K52">(+M47+Q47)/2</f>
        <v>0</v>
      </c>
      <c r="J47" s="20">
        <f t="shared" si="13"/>
        <v>483081.725</v>
      </c>
      <c r="K47" s="20">
        <f t="shared" si="13"/>
        <v>2103526.95</v>
      </c>
      <c r="L47" s="20"/>
      <c r="M47" s="20">
        <v>0</v>
      </c>
      <c r="N47" s="20">
        <v>556502.1</v>
      </c>
      <c r="O47" s="20">
        <v>2433756.5</v>
      </c>
      <c r="P47" s="20"/>
      <c r="Q47" s="20">
        <v>0</v>
      </c>
      <c r="R47" s="20">
        <v>409661.35</v>
      </c>
      <c r="S47" s="20">
        <v>1773297.4</v>
      </c>
    </row>
    <row r="48" spans="1:19" ht="15">
      <c r="A48" s="22">
        <f t="shared" si="1"/>
        <v>32</v>
      </c>
      <c r="B48" s="19" t="s">
        <v>449</v>
      </c>
      <c r="C48" s="20">
        <f t="shared" si="9"/>
        <v>210338.11</v>
      </c>
      <c r="D48" s="20">
        <f t="shared" si="10"/>
        <v>-405038.21</v>
      </c>
      <c r="E48" s="20"/>
      <c r="F48" s="20"/>
      <c r="G48" s="20">
        <f>ROUND(SUM(C48:F48)/2,0)</f>
        <v>-97350</v>
      </c>
      <c r="H48" s="20"/>
      <c r="I48" s="20">
        <f t="shared" si="13"/>
        <v>0</v>
      </c>
      <c r="J48" s="20">
        <f t="shared" si="13"/>
        <v>-14964.585000000001</v>
      </c>
      <c r="K48" s="20">
        <f t="shared" si="13"/>
        <v>-82385.46500000001</v>
      </c>
      <c r="L48" s="20"/>
      <c r="M48" s="20">
        <v>0</v>
      </c>
      <c r="N48" s="20">
        <v>27838.27</v>
      </c>
      <c r="O48" s="20">
        <v>182499.84</v>
      </c>
      <c r="P48" s="20"/>
      <c r="Q48" s="20">
        <v>0</v>
      </c>
      <c r="R48" s="20">
        <v>-57767.44</v>
      </c>
      <c r="S48" s="20">
        <v>-347270.77</v>
      </c>
    </row>
    <row r="49" spans="1:19" ht="15">
      <c r="A49" s="22">
        <f t="shared" si="1"/>
        <v>33</v>
      </c>
      <c r="B49" s="26" t="s">
        <v>703</v>
      </c>
      <c r="C49" s="20">
        <f>SUM(M49:O49)</f>
        <v>0</v>
      </c>
      <c r="D49" s="20">
        <f>SUM(Q49:S49)</f>
        <v>8604.09</v>
      </c>
      <c r="E49" s="20"/>
      <c r="F49" s="20"/>
      <c r="G49" s="20">
        <f>ROUND(SUM(C49:F49)/2,0)</f>
        <v>4302</v>
      </c>
      <c r="H49" s="20"/>
      <c r="I49" s="20">
        <f t="shared" si="13"/>
        <v>0</v>
      </c>
      <c r="J49" s="20">
        <f t="shared" si="13"/>
        <v>0</v>
      </c>
      <c r="K49" s="20">
        <f t="shared" si="13"/>
        <v>4302.045</v>
      </c>
      <c r="L49" s="20"/>
      <c r="M49" s="20">
        <v>0</v>
      </c>
      <c r="N49" s="20">
        <v>0</v>
      </c>
      <c r="O49" s="20">
        <v>0</v>
      </c>
      <c r="P49" s="20"/>
      <c r="Q49" s="20">
        <v>0</v>
      </c>
      <c r="R49" s="20">
        <v>0</v>
      </c>
      <c r="S49" s="20">
        <v>8604.09</v>
      </c>
    </row>
    <row r="50" spans="1:19" ht="15">
      <c r="A50" s="22">
        <f t="shared" si="1"/>
        <v>34</v>
      </c>
      <c r="B50" s="10" t="s">
        <v>312</v>
      </c>
      <c r="C50" s="20">
        <f t="shared" si="9"/>
        <v>72331</v>
      </c>
      <c r="D50" s="20">
        <f t="shared" si="10"/>
        <v>58605</v>
      </c>
      <c r="E50" s="20"/>
      <c r="F50" s="20"/>
      <c r="G50" s="20">
        <f t="shared" si="12"/>
        <v>65468</v>
      </c>
      <c r="H50" s="20"/>
      <c r="I50" s="20">
        <f t="shared" si="13"/>
        <v>0</v>
      </c>
      <c r="J50" s="20">
        <f t="shared" si="13"/>
        <v>7884.5</v>
      </c>
      <c r="K50" s="20">
        <f t="shared" si="13"/>
        <v>57583.5</v>
      </c>
      <c r="L50" s="20"/>
      <c r="M50" s="20">
        <v>0</v>
      </c>
      <c r="N50" s="20">
        <v>7977</v>
      </c>
      <c r="O50" s="20">
        <v>64354</v>
      </c>
      <c r="P50" s="20"/>
      <c r="Q50" s="20">
        <v>0</v>
      </c>
      <c r="R50" s="20">
        <v>7792</v>
      </c>
      <c r="S50" s="20">
        <v>50813</v>
      </c>
    </row>
    <row r="51" spans="1:19" ht="15">
      <c r="A51" s="22">
        <f t="shared" si="1"/>
        <v>35</v>
      </c>
      <c r="B51" s="26" t="s">
        <v>689</v>
      </c>
      <c r="C51" s="20">
        <f>SUM(M51:O51)</f>
        <v>0</v>
      </c>
      <c r="D51" s="20">
        <f>SUM(Q51:S51)</f>
        <v>117546</v>
      </c>
      <c r="E51" s="20"/>
      <c r="F51" s="20"/>
      <c r="G51" s="20">
        <f>ROUND(SUM(C51:F51)/2,0)</f>
        <v>58773</v>
      </c>
      <c r="H51" s="20"/>
      <c r="I51" s="20">
        <f t="shared" si="13"/>
        <v>0</v>
      </c>
      <c r="J51" s="20">
        <f t="shared" si="13"/>
        <v>8474.5</v>
      </c>
      <c r="K51" s="20">
        <f t="shared" si="13"/>
        <v>50298.5</v>
      </c>
      <c r="L51" s="20"/>
      <c r="M51" s="20">
        <v>0</v>
      </c>
      <c r="N51" s="20">
        <v>0</v>
      </c>
      <c r="O51" s="20">
        <v>0</v>
      </c>
      <c r="P51" s="20"/>
      <c r="Q51" s="20">
        <v>0</v>
      </c>
      <c r="R51" s="20">
        <v>16949</v>
      </c>
      <c r="S51" s="20">
        <v>100597</v>
      </c>
    </row>
    <row r="52" spans="1:19" ht="15">
      <c r="A52" s="22">
        <f t="shared" si="1"/>
        <v>36</v>
      </c>
      <c r="B52" s="10" t="s">
        <v>128</v>
      </c>
      <c r="C52" s="20">
        <f t="shared" si="9"/>
        <v>133983.25</v>
      </c>
      <c r="D52" s="20">
        <f t="shared" si="10"/>
        <v>120173.71</v>
      </c>
      <c r="E52" s="20"/>
      <c r="F52" s="20"/>
      <c r="G52" s="20">
        <f t="shared" si="12"/>
        <v>127078</v>
      </c>
      <c r="H52" s="20"/>
      <c r="I52" s="20">
        <f t="shared" si="13"/>
        <v>0</v>
      </c>
      <c r="J52" s="20">
        <f t="shared" si="13"/>
        <v>60689.385</v>
      </c>
      <c r="K52" s="20">
        <f t="shared" si="13"/>
        <v>66389.095</v>
      </c>
      <c r="L52" s="20"/>
      <c r="M52" s="20">
        <v>0</v>
      </c>
      <c r="N52" s="20">
        <v>81582.55</v>
      </c>
      <c r="O52" s="20">
        <f>52400.95-0.25</f>
        <v>52400.7</v>
      </c>
      <c r="P52" s="20"/>
      <c r="Q52" s="20">
        <v>0</v>
      </c>
      <c r="R52" s="20">
        <v>39796.22</v>
      </c>
      <c r="S52" s="20">
        <v>80377.49</v>
      </c>
    </row>
    <row r="53" spans="1:19" ht="15">
      <c r="A53" s="22">
        <f t="shared" si="1"/>
        <v>37</v>
      </c>
      <c r="B53" s="10" t="s">
        <v>34</v>
      </c>
      <c r="C53" s="20">
        <v>0</v>
      </c>
      <c r="D53" s="20">
        <v>0</v>
      </c>
      <c r="E53" s="20">
        <f aca="true" t="shared" si="14" ref="E53:F55">-C53</f>
        <v>0</v>
      </c>
      <c r="F53" s="20">
        <f t="shared" si="14"/>
        <v>0</v>
      </c>
      <c r="G53" s="20">
        <f t="shared" si="12"/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5">
      <c r="A54" s="22">
        <f t="shared" si="1"/>
        <v>38</v>
      </c>
      <c r="B54" s="10" t="s">
        <v>130</v>
      </c>
      <c r="C54" s="20">
        <f>43153.22+1736599.32</f>
        <v>1779752.54</v>
      </c>
      <c r="D54" s="20">
        <v>1995658.84</v>
      </c>
      <c r="E54" s="20">
        <f t="shared" si="14"/>
        <v>-1779752.54</v>
      </c>
      <c r="F54" s="20">
        <f t="shared" si="14"/>
        <v>-1995658.84</v>
      </c>
      <c r="G54" s="20">
        <f t="shared" si="12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5">
      <c r="A55" s="22">
        <f t="shared" si="1"/>
        <v>39</v>
      </c>
      <c r="B55" s="10" t="s">
        <v>131</v>
      </c>
      <c r="C55" s="20">
        <v>0</v>
      </c>
      <c r="D55" s="20">
        <v>0</v>
      </c>
      <c r="E55" s="20">
        <f t="shared" si="14"/>
        <v>0</v>
      </c>
      <c r="F55" s="20">
        <f t="shared" si="14"/>
        <v>0</v>
      </c>
      <c r="G55" s="20">
        <f t="shared" si="12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>
      <c r="A56" s="22">
        <f t="shared" si="1"/>
        <v>40</v>
      </c>
      <c r="B56" s="10" t="s">
        <v>134</v>
      </c>
      <c r="C56" s="20">
        <v>491</v>
      </c>
      <c r="D56" s="20">
        <v>1776</v>
      </c>
      <c r="E56" s="20">
        <f>-C56</f>
        <v>-491</v>
      </c>
      <c r="F56" s="20">
        <f>-D56</f>
        <v>-1776</v>
      </c>
      <c r="G56" s="20">
        <f>ROUND(SUM(C56:F56)/2,0)</f>
        <v>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">
      <c r="A57" s="22">
        <f t="shared" si="1"/>
        <v>41</v>
      </c>
      <c r="B57" s="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5.75" thickBot="1">
      <c r="A58" s="22">
        <f t="shared" si="1"/>
        <v>42</v>
      </c>
      <c r="B58" s="10"/>
      <c r="C58" s="23">
        <f>SUM(C44:C57)</f>
        <v>2682767.4899999998</v>
      </c>
      <c r="D58" s="23">
        <f>SUM(D44:D57)</f>
        <v>2613202.8000000003</v>
      </c>
      <c r="E58" s="23">
        <f>SUM(E44:E57)</f>
        <v>-1780243.54</v>
      </c>
      <c r="F58" s="23">
        <f>SUM(F44:F57)</f>
        <v>-1997434.84</v>
      </c>
      <c r="G58" s="23">
        <f>SUM(G44:G57)</f>
        <v>759145</v>
      </c>
      <c r="H58" s="23"/>
      <c r="I58" s="23">
        <f>SUM(I44:I57)</f>
        <v>0</v>
      </c>
      <c r="J58" s="23">
        <f>SUM(J44:J57)</f>
        <v>64167.89999999998</v>
      </c>
      <c r="K58" s="23">
        <f>SUM(K44:K57)</f>
        <v>694978.0549999998</v>
      </c>
      <c r="L58" s="23"/>
      <c r="M58" s="23">
        <f>SUM(M44:M57)</f>
        <v>0</v>
      </c>
      <c r="N58" s="23">
        <f>SUM(N44:N57)</f>
        <v>119481.91999999998</v>
      </c>
      <c r="O58" s="23">
        <f>SUM(O44:O57)</f>
        <v>783042.0299999999</v>
      </c>
      <c r="P58" s="20"/>
      <c r="Q58" s="23">
        <f>SUM(Q44:Q57)</f>
        <v>0</v>
      </c>
      <c r="R58" s="23">
        <f>SUM(R44:R57)</f>
        <v>8853.879999999976</v>
      </c>
      <c r="S58" s="23">
        <f>SUM(S44:S57)</f>
        <v>606914.0800000001</v>
      </c>
    </row>
    <row r="59" spans="1:19" ht="15.75" thickTop="1">
      <c r="A59" s="22">
        <f t="shared" si="1"/>
        <v>43</v>
      </c>
      <c r="B59" s="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0"/>
      <c r="Q59" s="24"/>
      <c r="R59" s="24"/>
      <c r="S59" s="24"/>
    </row>
    <row r="60" spans="1:19" ht="15">
      <c r="A60" s="22">
        <f t="shared" si="1"/>
        <v>44</v>
      </c>
      <c r="B60" s="9"/>
      <c r="C60" s="20"/>
      <c r="D60" s="20" t="s">
        <v>77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5">
      <c r="A61" s="22">
        <f t="shared" si="1"/>
        <v>45</v>
      </c>
      <c r="B61" s="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">
      <c r="A62" s="22">
        <f t="shared" si="1"/>
        <v>46</v>
      </c>
      <c r="B62" s="10" t="s">
        <v>136</v>
      </c>
      <c r="C62" s="20">
        <f>342425+2022029</f>
        <v>2364454</v>
      </c>
      <c r="D62" s="20">
        <v>2824518</v>
      </c>
      <c r="E62" s="20">
        <f>-C62</f>
        <v>-2364454</v>
      </c>
      <c r="F62" s="20">
        <f>-D62</f>
        <v>-2824518</v>
      </c>
      <c r="G62" s="20">
        <f>ROUND(SUM(C62:F62)/2,0)</f>
        <v>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">
      <c r="A63" s="22">
        <f t="shared" si="1"/>
        <v>47</v>
      </c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.75" thickBot="1">
      <c r="A64" s="22">
        <f t="shared" si="1"/>
        <v>48</v>
      </c>
      <c r="B64" s="10" t="s">
        <v>137</v>
      </c>
      <c r="C64" s="23">
        <f>SUM(C58+C62)</f>
        <v>5047221.49</v>
      </c>
      <c r="D64" s="23">
        <f>SUM(D58+D62)</f>
        <v>5437720.800000001</v>
      </c>
      <c r="E64" s="23">
        <f>SUM(E58+E62)</f>
        <v>-4144697.54</v>
      </c>
      <c r="F64" s="23">
        <f>SUM(F58+F62)</f>
        <v>-4821952.84</v>
      </c>
      <c r="G64" s="23">
        <f>SUM(G58+G62)</f>
        <v>759145</v>
      </c>
      <c r="H64" s="23"/>
      <c r="I64" s="23">
        <f>SUM(I58+I62)</f>
        <v>0</v>
      </c>
      <c r="J64" s="23">
        <f>SUM(J58+J62)</f>
        <v>64167.89999999998</v>
      </c>
      <c r="K64" s="23">
        <f>SUM(K58+K62)</f>
        <v>694978.0549999998</v>
      </c>
      <c r="L64" s="23"/>
      <c r="M64" s="23">
        <f>SUM(M58+M62)</f>
        <v>0</v>
      </c>
      <c r="N64" s="23">
        <f>SUM(N58+N62)</f>
        <v>119481.91999999998</v>
      </c>
      <c r="O64" s="23">
        <f>SUM(O58+O62)</f>
        <v>783042.0299999999</v>
      </c>
      <c r="P64" s="20"/>
      <c r="Q64" s="23">
        <f>SUM(Q58+Q62)</f>
        <v>0</v>
      </c>
      <c r="R64" s="23">
        <f>SUM(R58+R62)</f>
        <v>8853.879999999976</v>
      </c>
      <c r="S64" s="23">
        <f>SUM(S58+S62)</f>
        <v>606914.0800000001</v>
      </c>
    </row>
    <row r="65" spans="1:19" ht="15.75" thickTop="1">
      <c r="A65" s="22">
        <f t="shared" si="1"/>
        <v>49</v>
      </c>
      <c r="B65" s="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0"/>
      <c r="Q65" s="24"/>
      <c r="R65" s="24"/>
      <c r="S65" s="24"/>
    </row>
    <row r="66" spans="1:19" ht="15">
      <c r="A66" s="22">
        <f t="shared" si="1"/>
        <v>50</v>
      </c>
      <c r="B66" s="10" t="s">
        <v>138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5">
      <c r="A67" s="22">
        <f t="shared" si="1"/>
        <v>51</v>
      </c>
      <c r="B67" s="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5">
      <c r="A68" s="22">
        <f t="shared" si="1"/>
        <v>52</v>
      </c>
      <c r="B68" s="10" t="s">
        <v>139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5">
      <c r="A69" s="22">
        <f t="shared" si="1"/>
        <v>53</v>
      </c>
      <c r="B69" s="9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0"/>
      <c r="N69" s="20"/>
      <c r="O69" s="20"/>
      <c r="P69" s="20"/>
      <c r="Q69" s="20"/>
      <c r="R69" s="20"/>
      <c r="S69" s="20"/>
    </row>
    <row r="70" spans="1:19" ht="15">
      <c r="A70" s="22">
        <f t="shared" si="1"/>
        <v>54</v>
      </c>
      <c r="B70" s="10" t="s">
        <v>140</v>
      </c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0"/>
      <c r="N70" s="20"/>
      <c r="O70" s="20"/>
      <c r="P70" s="20"/>
      <c r="Q70" s="20"/>
      <c r="R70" s="20"/>
      <c r="S70" s="20"/>
    </row>
    <row r="71" spans="1:19" ht="15">
      <c r="A71" s="22">
        <f t="shared" si="1"/>
        <v>55</v>
      </c>
      <c r="B71" s="1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5">
      <c r="A72" s="22">
        <f t="shared" si="1"/>
        <v>56</v>
      </c>
      <c r="B72" s="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5">
      <c r="A73" s="22">
        <f t="shared" si="1"/>
        <v>57</v>
      </c>
      <c r="B73" s="19" t="s">
        <v>141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5">
      <c r="A74" s="22">
        <f t="shared" si="1"/>
        <v>58</v>
      </c>
      <c r="B74" s="19" t="s">
        <v>142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5">
      <c r="A75" s="22">
        <f t="shared" si="1"/>
        <v>59</v>
      </c>
      <c r="B75" s="10" t="s">
        <v>329</v>
      </c>
      <c r="C75" s="20">
        <f>SUM(M75:O75)</f>
        <v>55004</v>
      </c>
      <c r="D75" s="20">
        <f>SUM(Q75:S75)</f>
        <v>19255</v>
      </c>
      <c r="E75" s="20"/>
      <c r="F75" s="20"/>
      <c r="G75" s="20">
        <f>ROUND(SUM(C75:F75)/2,0)</f>
        <v>37130</v>
      </c>
      <c r="H75" s="20"/>
      <c r="I75" s="20">
        <f>(+M75+Q75)/2</f>
        <v>0</v>
      </c>
      <c r="J75" s="20">
        <f>(+N75+R75)/2</f>
        <v>7790</v>
      </c>
      <c r="K75" s="20">
        <f>(+O75+S75)/2</f>
        <v>29339.5</v>
      </c>
      <c r="L75" s="20"/>
      <c r="M75" s="20">
        <v>0</v>
      </c>
      <c r="N75" s="20">
        <v>11643</v>
      </c>
      <c r="O75" s="20">
        <v>43361</v>
      </c>
      <c r="P75" s="20"/>
      <c r="Q75" s="20">
        <v>0</v>
      </c>
      <c r="R75" s="20">
        <v>3937</v>
      </c>
      <c r="S75" s="20">
        <v>15318</v>
      </c>
    </row>
    <row r="76" spans="1:19" ht="15">
      <c r="A76" s="22">
        <f t="shared" si="1"/>
        <v>60</v>
      </c>
      <c r="B76" s="1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5.75" thickBot="1">
      <c r="A77" s="22">
        <f t="shared" si="1"/>
        <v>61</v>
      </c>
      <c r="B77" s="19" t="s">
        <v>145</v>
      </c>
      <c r="C77" s="23">
        <f>SUM(C75:C76)</f>
        <v>55004</v>
      </c>
      <c r="D77" s="23">
        <f>SUM(D75:D76)</f>
        <v>19255</v>
      </c>
      <c r="E77" s="23">
        <f>SUM(E75:E76)</f>
        <v>0</v>
      </c>
      <c r="F77" s="23">
        <f>SUM(F75:F76)</f>
        <v>0</v>
      </c>
      <c r="G77" s="23">
        <f>SUM(G75:G76)</f>
        <v>37130</v>
      </c>
      <c r="H77" s="23"/>
      <c r="I77" s="23">
        <f>SUM(I75:I76)</f>
        <v>0</v>
      </c>
      <c r="J77" s="23">
        <f>SUM(J75:J76)</f>
        <v>7790</v>
      </c>
      <c r="K77" s="23">
        <f>SUM(K75:K76)</f>
        <v>29339.5</v>
      </c>
      <c r="L77" s="23"/>
      <c r="M77" s="23">
        <f>SUM(M75:M76)</f>
        <v>0</v>
      </c>
      <c r="N77" s="23">
        <f>SUM(N75:N76)</f>
        <v>11643</v>
      </c>
      <c r="O77" s="23">
        <f>SUM(O75:O76)</f>
        <v>43361</v>
      </c>
      <c r="P77" s="20"/>
      <c r="Q77" s="23">
        <f>SUM(Q75:Q76)</f>
        <v>0</v>
      </c>
      <c r="R77" s="23">
        <f>SUM(R75:R76)</f>
        <v>3937</v>
      </c>
      <c r="S77" s="23">
        <f>SUM(S75:S76)</f>
        <v>15318</v>
      </c>
    </row>
    <row r="78" spans="1:19" ht="15.75" thickTop="1">
      <c r="A78" s="22"/>
      <c r="B78" s="9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0"/>
      <c r="Q78" s="24"/>
      <c r="R78" s="24"/>
      <c r="S78" s="24"/>
    </row>
    <row r="79" spans="1:19" ht="15">
      <c r="A79" s="22"/>
      <c r="B79" s="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5">
      <c r="A80" s="22"/>
      <c r="B80" s="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5">
      <c r="A81" s="22"/>
      <c r="B81" s="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5">
      <c r="A82" s="22"/>
      <c r="B82" s="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5">
      <c r="A83" s="7"/>
      <c r="B83" s="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3:1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3:1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3:1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3:1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3:1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3:1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3:1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3:1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3:1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3:1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3:1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3:1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3:1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3:1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3:1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3:1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3:1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3:1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3:1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3:1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3:1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3:1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3:1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3:1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3:1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3:1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3:1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3:1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3:1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3:1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3:1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3:1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3:1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3:1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3:1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3:1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3:19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3:19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3:19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3:19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3:19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3:19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3:19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3:19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3:19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3:19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3:19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3:19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3:19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3:19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3:19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3:19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3:19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3:19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3:19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3:19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3:19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3:19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3:19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3:19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3:19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3:19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3:19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3:19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3:19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3:19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3:19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3:19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3:19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3:19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3:19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3:19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3:19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3:19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3:19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3:19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3:19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3:19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3:19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3:19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3:19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3:19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3:19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3:19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3:19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3:19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3:19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3:19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3:19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3:19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3:19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3:19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3:19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3:19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3:19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3:19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3:19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3:19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3:19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3:19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3:19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3:19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3:19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3:19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3:19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3:19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3:19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3:19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3:19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3:19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3:19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3:19" ht="12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3:19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3:19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3:19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3:19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3:19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3:19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3:19" ht="12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3:19" ht="12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3:19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3:19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3:19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3:19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3:19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3:19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3:19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3:19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3:19" ht="12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3:19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3:19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3:19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3:19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3:19" ht="12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3:19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3:19" ht="12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3:19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3:19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3:19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3:19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3:19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3:19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3:19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3:19" ht="12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3:19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3:19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3:19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3:19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3:19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3:19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3:19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3:19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3:19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3:19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3:19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3:19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3:19" ht="12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3:19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3:19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3:19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3:19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3:19" ht="12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3:19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3:19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3:19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3:19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3:19" ht="12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3:19" ht="12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3:19" ht="12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3:19" ht="12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3:19" ht="12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3:19" ht="12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3:19" ht="12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3:19" ht="12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3:19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3:19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3:19" ht="12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3:19" ht="12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3:19" ht="12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3:19" ht="12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3:19" ht="12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3:19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3:19" ht="12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3:19" ht="12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3:19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3:19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3:19" ht="12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3:19" ht="12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3:19" ht="12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3:19" ht="12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3:19" ht="12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3:19" ht="12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3:19" ht="12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3:19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3:19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3:19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3:19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3:19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3:19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3:19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3:19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3:19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3:19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3:19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3:19" ht="12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3:19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3:19" ht="12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3:19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3:19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3:19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3:19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3:19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3:19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3:19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3:19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3:19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3:19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3:19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3:19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3:19" ht="12.7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3:19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3:19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3:19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3:19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3:19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3:19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3:19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3:19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3:19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</sheetData>
  <sheetProtection/>
  <printOptions/>
  <pageMargins left="0.75" right="0" top="0.75" bottom="0.5" header="0" footer="0"/>
  <pageSetup fitToWidth="2" horizontalDpi="600" verticalDpi="600" orientation="portrait" scale="70" r:id="rId1"/>
  <headerFooter alignWithMargins="0">
    <oddHeader>&amp;RSTATEMENT AF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799"/>
  <sheetViews>
    <sheetView showOutlineSymbols="0" zoomScale="70" zoomScaleNormal="70" zoomScaleSheetLayoutView="85" zoomScalePageLayoutView="0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N64" sqref="N64"/>
    </sheetView>
  </sheetViews>
  <sheetFormatPr defaultColWidth="12.7109375" defaultRowHeight="15"/>
  <cols>
    <col min="1" max="1" width="5.8515625" style="3" customWidth="1"/>
    <col min="2" max="2" width="54.57421875" style="1" customWidth="1"/>
    <col min="3" max="3" width="14.140625" style="1" customWidth="1"/>
    <col min="4" max="4" width="13.57421875" style="1" customWidth="1"/>
    <col min="5" max="5" width="15.8515625" style="1" hidden="1" customWidth="1"/>
    <col min="6" max="6" width="16.421875" style="1" hidden="1" customWidth="1"/>
    <col min="7" max="7" width="18.421875" style="1" hidden="1" customWidth="1"/>
    <col min="8" max="8" width="3.140625" style="1" hidden="1" customWidth="1"/>
    <col min="9" max="11" width="18.421875" style="1" hidden="1" customWidth="1"/>
    <col min="12" max="12" width="3.00390625" style="1" customWidth="1"/>
    <col min="13" max="13" width="14.00390625" style="1" customWidth="1"/>
    <col min="14" max="14" width="15.8515625" style="1" customWidth="1"/>
    <col min="15" max="15" width="15.140625" style="1" customWidth="1"/>
    <col min="16" max="16" width="2.8515625" style="1" customWidth="1"/>
    <col min="17" max="17" width="14.00390625" style="1" bestFit="1" customWidth="1"/>
    <col min="18" max="18" width="15.8515625" style="1" customWidth="1"/>
    <col min="19" max="19" width="19.28125" style="1" customWidth="1"/>
    <col min="20" max="16384" width="12.7109375" style="1" customWidth="1"/>
  </cols>
  <sheetData>
    <row r="1" spans="1:25" ht="15">
      <c r="A1" s="7"/>
      <c r="B1" s="8" t="s">
        <v>444</v>
      </c>
      <c r="C1" s="9"/>
      <c r="D1" s="9"/>
      <c r="E1" s="9"/>
      <c r="F1" s="9"/>
      <c r="G1" s="19"/>
      <c r="H1" s="19"/>
      <c r="I1" s="19"/>
      <c r="J1" s="19"/>
      <c r="K1" s="19"/>
      <c r="L1" s="19"/>
      <c r="M1" s="9"/>
      <c r="N1" s="9"/>
      <c r="O1" s="9"/>
      <c r="P1" s="9"/>
      <c r="Q1" s="9"/>
      <c r="R1" s="9"/>
      <c r="S1" s="12"/>
      <c r="T1" s="9"/>
      <c r="U1" s="2"/>
      <c r="V1" s="2"/>
      <c r="W1" s="2"/>
      <c r="X1" s="2"/>
      <c r="Y1" s="2"/>
    </row>
    <row r="2" spans="1:25" ht="15">
      <c r="A2" s="7"/>
      <c r="B2" s="8" t="s">
        <v>146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2"/>
      <c r="V2" s="2"/>
      <c r="W2" s="2"/>
      <c r="X2" s="2"/>
      <c r="Y2" s="2"/>
    </row>
    <row r="3" spans="1:25" ht="15">
      <c r="A3" s="7"/>
      <c r="B3" s="59" t="s">
        <v>704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"/>
      <c r="V3" s="2"/>
      <c r="W3" s="2"/>
      <c r="X3" s="2"/>
      <c r="Y3" s="2"/>
    </row>
    <row r="4" spans="1:25" ht="15">
      <c r="A4" s="7"/>
      <c r="B4" s="2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"/>
      <c r="V4" s="2"/>
      <c r="W4" s="2"/>
      <c r="X4" s="2"/>
      <c r="Y4" s="2"/>
    </row>
    <row r="5" spans="1:25" ht="15">
      <c r="A5" s="7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"/>
      <c r="V5" s="2"/>
      <c r="W5" s="2"/>
      <c r="X5" s="2"/>
      <c r="Y5" s="2"/>
    </row>
    <row r="6" spans="1:25" ht="15">
      <c r="A6" s="7"/>
      <c r="B6" s="9"/>
      <c r="C6" s="9"/>
      <c r="D6" s="9"/>
      <c r="E6" s="9"/>
      <c r="F6" s="9"/>
      <c r="G6" s="11" t="s">
        <v>147</v>
      </c>
      <c r="H6" s="11"/>
      <c r="I6" s="11"/>
      <c r="J6" s="11"/>
      <c r="K6" s="11"/>
      <c r="L6" s="11"/>
      <c r="M6" s="9"/>
      <c r="N6" s="9"/>
      <c r="O6" s="9"/>
      <c r="P6" s="9"/>
      <c r="Q6" s="9"/>
      <c r="R6" s="9"/>
      <c r="S6" s="9"/>
      <c r="T6" s="9"/>
      <c r="U6" s="2"/>
      <c r="V6" s="2"/>
      <c r="W6" s="2"/>
      <c r="X6" s="2"/>
      <c r="Y6" s="2"/>
    </row>
    <row r="7" spans="1:25" ht="1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2"/>
    </row>
    <row r="8" spans="1:25" ht="15">
      <c r="A8" s="7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/>
      <c r="I8" s="13" t="s">
        <v>9</v>
      </c>
      <c r="J8" s="13" t="s">
        <v>10</v>
      </c>
      <c r="K8" s="13" t="s">
        <v>11</v>
      </c>
      <c r="L8" s="13"/>
      <c r="M8" s="13" t="s">
        <v>12</v>
      </c>
      <c r="N8" s="60" t="s">
        <v>13</v>
      </c>
      <c r="O8" s="60" t="s">
        <v>14</v>
      </c>
      <c r="P8" s="9"/>
      <c r="Q8" s="13" t="s">
        <v>15</v>
      </c>
      <c r="R8" s="60" t="s">
        <v>16</v>
      </c>
      <c r="S8" s="60" t="s">
        <v>17</v>
      </c>
      <c r="T8" s="9"/>
      <c r="U8" s="2"/>
      <c r="V8" s="2"/>
      <c r="W8" s="2"/>
      <c r="X8" s="2"/>
      <c r="Y8" s="2"/>
    </row>
    <row r="9" spans="1:25" ht="1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2"/>
    </row>
    <row r="10" spans="1:25" ht="15">
      <c r="A10" s="7"/>
      <c r="B10" s="9"/>
      <c r="C10" s="14" t="s">
        <v>18</v>
      </c>
      <c r="D10" s="14"/>
      <c r="E10" s="15" t="s">
        <v>19</v>
      </c>
      <c r="F10" s="14"/>
      <c r="G10" s="16" t="s">
        <v>20</v>
      </c>
      <c r="H10" s="16"/>
      <c r="I10" s="17" t="s">
        <v>21</v>
      </c>
      <c r="J10" s="14"/>
      <c r="K10" s="14"/>
      <c r="L10" s="16"/>
      <c r="M10" s="37" t="s">
        <v>22</v>
      </c>
      <c r="N10" s="14"/>
      <c r="O10" s="14"/>
      <c r="P10" s="9"/>
      <c r="Q10" s="37" t="s">
        <v>659</v>
      </c>
      <c r="R10" s="14"/>
      <c r="S10" s="14"/>
      <c r="T10" s="9"/>
      <c r="U10" s="2"/>
      <c r="V10" s="2"/>
      <c r="W10" s="2"/>
      <c r="X10" s="2"/>
      <c r="Y10" s="2"/>
    </row>
    <row r="11" spans="1:25" ht="15">
      <c r="A11" s="7"/>
      <c r="B11" s="9"/>
      <c r="C11" s="18"/>
      <c r="D11" s="18"/>
      <c r="E11" s="9"/>
      <c r="F11" s="9"/>
      <c r="G11" s="16" t="s">
        <v>23</v>
      </c>
      <c r="H11" s="16"/>
      <c r="I11" s="18"/>
      <c r="J11" s="18"/>
      <c r="K11" s="18"/>
      <c r="L11" s="16"/>
      <c r="M11" s="18"/>
      <c r="N11" s="18"/>
      <c r="O11" s="18"/>
      <c r="P11" s="9"/>
      <c r="Q11" s="18"/>
      <c r="R11" s="18"/>
      <c r="S11" s="18"/>
      <c r="T11" s="9"/>
      <c r="U11" s="2"/>
      <c r="V11" s="2"/>
      <c r="W11" s="2"/>
      <c r="X11" s="2"/>
      <c r="Y11" s="2"/>
    </row>
    <row r="12" spans="1:25" ht="15">
      <c r="A12" s="7"/>
      <c r="B12" s="9"/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25</v>
      </c>
      <c r="H12" s="16"/>
      <c r="I12" s="9"/>
      <c r="J12" s="9"/>
      <c r="K12" s="9"/>
      <c r="L12" s="16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</row>
    <row r="13" spans="1:25" ht="15">
      <c r="A13" s="7"/>
      <c r="B13" s="13" t="s">
        <v>26</v>
      </c>
      <c r="C13" s="13" t="s">
        <v>27</v>
      </c>
      <c r="D13" s="13" t="s">
        <v>660</v>
      </c>
      <c r="E13" s="13" t="s">
        <v>27</v>
      </c>
      <c r="F13" s="13" t="s">
        <v>660</v>
      </c>
      <c r="G13" s="13" t="s">
        <v>28</v>
      </c>
      <c r="H13" s="13"/>
      <c r="I13" s="13" t="s">
        <v>29</v>
      </c>
      <c r="J13" s="13" t="s">
        <v>30</v>
      </c>
      <c r="K13" s="13" t="s">
        <v>31</v>
      </c>
      <c r="L13" s="13"/>
      <c r="M13" s="13" t="s">
        <v>29</v>
      </c>
      <c r="N13" s="60" t="s">
        <v>30</v>
      </c>
      <c r="O13" s="60" t="s">
        <v>31</v>
      </c>
      <c r="P13" s="9"/>
      <c r="Q13" s="13" t="s">
        <v>29</v>
      </c>
      <c r="R13" s="60" t="s">
        <v>30</v>
      </c>
      <c r="S13" s="60" t="s">
        <v>31</v>
      </c>
      <c r="T13" s="9"/>
      <c r="U13" s="2"/>
      <c r="V13" s="2"/>
      <c r="W13" s="2"/>
      <c r="X13" s="2"/>
      <c r="Y13" s="2"/>
    </row>
    <row r="14" spans="1:25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"/>
      <c r="V14" s="2"/>
      <c r="W14" s="2"/>
      <c r="X14" s="2"/>
      <c r="Y14" s="2"/>
    </row>
    <row r="15" spans="1:25" ht="15">
      <c r="A15" s="39"/>
      <c r="B15" s="25" t="s">
        <v>148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9"/>
      <c r="O15" s="9"/>
      <c r="P15" s="20"/>
      <c r="Q15" s="20"/>
      <c r="R15" s="9"/>
      <c r="S15" s="9"/>
      <c r="T15" s="20"/>
      <c r="U15" s="2"/>
      <c r="V15" s="2"/>
      <c r="W15" s="2"/>
      <c r="X15" s="2"/>
      <c r="Y15" s="2"/>
    </row>
    <row r="16" spans="1:25" ht="15">
      <c r="A16" s="3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9"/>
      <c r="O16" s="9"/>
      <c r="P16" s="20"/>
      <c r="Q16" s="20"/>
      <c r="R16" s="9"/>
      <c r="S16" s="9"/>
      <c r="T16" s="20"/>
      <c r="U16" s="2"/>
      <c r="V16" s="2"/>
      <c r="W16" s="2"/>
      <c r="X16" s="2"/>
      <c r="Y16" s="2"/>
    </row>
    <row r="17" spans="1:25" ht="15">
      <c r="A17" s="40">
        <f>1</f>
        <v>1</v>
      </c>
      <c r="B17" s="41" t="s">
        <v>330</v>
      </c>
      <c r="C17" s="20">
        <f aca="true" t="shared" si="0" ref="C17:C30">SUM(M17:O17)</f>
        <v>688707.0900000001</v>
      </c>
      <c r="D17" s="20">
        <f aca="true" t="shared" si="1" ref="D17:D41">SUM(Q17:S17)</f>
        <v>324337</v>
      </c>
      <c r="E17" s="20"/>
      <c r="F17" s="20"/>
      <c r="G17" s="20">
        <f aca="true" t="shared" si="2" ref="G17:G41">ROUND(SUM(C17:F17)/2,0)</f>
        <v>506522</v>
      </c>
      <c r="H17" s="20"/>
      <c r="I17" s="20">
        <f>(+M17+Q17)/2</f>
        <v>0</v>
      </c>
      <c r="J17" s="20">
        <f>ROUND((+N17+R17)/2,0)</f>
        <v>7407</v>
      </c>
      <c r="K17" s="20">
        <f>ROUND((+O17+S17)/2,0)</f>
        <v>499115</v>
      </c>
      <c r="L17" s="20"/>
      <c r="M17" s="20">
        <v>0</v>
      </c>
      <c r="N17" s="61">
        <v>3930.66</v>
      </c>
      <c r="O17" s="61">
        <f>3674.43+681102</f>
        <v>684776.43</v>
      </c>
      <c r="P17" s="20"/>
      <c r="Q17" s="20">
        <v>0</v>
      </c>
      <c r="R17" s="61">
        <v>10884</v>
      </c>
      <c r="S17" s="61">
        <f>14899+298554</f>
        <v>313453</v>
      </c>
      <c r="T17" s="20"/>
      <c r="U17" s="2"/>
      <c r="V17" s="2"/>
      <c r="W17" s="2"/>
      <c r="X17" s="2"/>
      <c r="Y17" s="2"/>
    </row>
    <row r="18" spans="1:25" ht="15">
      <c r="A18" s="40">
        <f aca="true" t="shared" si="3" ref="A18:A52">A17+1</f>
        <v>2</v>
      </c>
      <c r="B18" s="20" t="s">
        <v>334</v>
      </c>
      <c r="C18" s="20">
        <f t="shared" si="0"/>
        <v>396105.62</v>
      </c>
      <c r="D18" s="20">
        <f>SUM(Q18:S18)</f>
        <v>311943.79000000004</v>
      </c>
      <c r="E18" s="20"/>
      <c r="F18" s="20"/>
      <c r="G18" s="20">
        <f>ROUND(SUM(C18:F18)/2,0)</f>
        <v>354025</v>
      </c>
      <c r="H18" s="20"/>
      <c r="I18" s="20">
        <f aca="true" t="shared" si="4" ref="I18:I43">(+M18+Q18)/2</f>
        <v>0</v>
      </c>
      <c r="J18" s="20">
        <f aca="true" t="shared" si="5" ref="J18:K43">ROUND((+N18+R18)/2,0)</f>
        <v>24110</v>
      </c>
      <c r="K18" s="20">
        <f t="shared" si="5"/>
        <v>329915</v>
      </c>
      <c r="L18" s="20"/>
      <c r="M18" s="20">
        <v>0</v>
      </c>
      <c r="N18" s="20">
        <v>25682.65</v>
      </c>
      <c r="O18" s="20">
        <v>370422.97</v>
      </c>
      <c r="P18" s="20"/>
      <c r="Q18" s="20">
        <v>0</v>
      </c>
      <c r="R18" s="20">
        <v>22537.2</v>
      </c>
      <c r="S18" s="20">
        <v>289406.59</v>
      </c>
      <c r="T18" s="20"/>
      <c r="U18" s="2"/>
      <c r="V18" s="2"/>
      <c r="W18" s="2"/>
      <c r="X18" s="2"/>
      <c r="Y18" s="2"/>
    </row>
    <row r="19" spans="1:25" ht="15">
      <c r="A19" s="40">
        <f t="shared" si="3"/>
        <v>3</v>
      </c>
      <c r="B19" s="25" t="s">
        <v>150</v>
      </c>
      <c r="C19" s="20">
        <f t="shared" si="0"/>
        <v>0</v>
      </c>
      <c r="D19" s="20">
        <f t="shared" si="1"/>
        <v>0</v>
      </c>
      <c r="E19" s="20"/>
      <c r="F19" s="20"/>
      <c r="G19" s="20">
        <f>ROUND(SUM(C19:F19)/2,0)</f>
        <v>0</v>
      </c>
      <c r="H19" s="20"/>
      <c r="I19" s="20">
        <f t="shared" si="4"/>
        <v>0</v>
      </c>
      <c r="J19" s="20">
        <f t="shared" si="5"/>
        <v>0</v>
      </c>
      <c r="K19" s="20">
        <f t="shared" si="5"/>
        <v>0</v>
      </c>
      <c r="L19" s="20"/>
      <c r="M19" s="20">
        <v>0</v>
      </c>
      <c r="N19" s="9">
        <v>0</v>
      </c>
      <c r="O19" s="9">
        <v>0</v>
      </c>
      <c r="P19" s="20"/>
      <c r="Q19" s="20">
        <v>0</v>
      </c>
      <c r="R19" s="20">
        <v>0</v>
      </c>
      <c r="S19" s="9">
        <v>0</v>
      </c>
      <c r="T19" s="20"/>
      <c r="U19" s="2"/>
      <c r="V19" s="2"/>
      <c r="W19" s="2"/>
      <c r="X19" s="2"/>
      <c r="Y19" s="2"/>
    </row>
    <row r="20" spans="1:25" ht="15">
      <c r="A20" s="40">
        <f t="shared" si="3"/>
        <v>4</v>
      </c>
      <c r="B20" s="25" t="s">
        <v>450</v>
      </c>
      <c r="C20" s="20">
        <f t="shared" si="0"/>
        <v>3874.48</v>
      </c>
      <c r="D20" s="20">
        <f t="shared" si="1"/>
        <v>7259.4</v>
      </c>
      <c r="E20" s="20"/>
      <c r="F20" s="20"/>
      <c r="G20" s="20">
        <f>ROUND(SUM(C20:F20)/2,0)</f>
        <v>5567</v>
      </c>
      <c r="H20" s="20"/>
      <c r="I20" s="20">
        <f t="shared" si="4"/>
        <v>0</v>
      </c>
      <c r="J20" s="20">
        <f t="shared" si="5"/>
        <v>5567</v>
      </c>
      <c r="K20" s="20">
        <f t="shared" si="5"/>
        <v>0</v>
      </c>
      <c r="L20" s="20"/>
      <c r="M20" s="20">
        <v>0</v>
      </c>
      <c r="N20" s="20">
        <v>3874.12</v>
      </c>
      <c r="O20" s="9">
        <v>0.36</v>
      </c>
      <c r="P20" s="20"/>
      <c r="Q20" s="20">
        <v>0</v>
      </c>
      <c r="R20" s="20">
        <v>7259.04</v>
      </c>
      <c r="S20" s="9">
        <v>0.36</v>
      </c>
      <c r="T20" s="20"/>
      <c r="U20" s="2"/>
      <c r="V20" s="2"/>
      <c r="W20" s="2"/>
      <c r="X20" s="2"/>
      <c r="Y20" s="2"/>
    </row>
    <row r="21" spans="1:25" ht="15">
      <c r="A21" s="40">
        <f t="shared" si="3"/>
        <v>5</v>
      </c>
      <c r="B21" s="20" t="s">
        <v>88</v>
      </c>
      <c r="C21" s="20">
        <f t="shared" si="0"/>
        <v>-1573775.48</v>
      </c>
      <c r="D21" s="20">
        <f t="shared" si="1"/>
        <v>-1459448.38</v>
      </c>
      <c r="E21" s="20"/>
      <c r="F21" s="20"/>
      <c r="G21" s="20">
        <f t="shared" si="2"/>
        <v>-1516612</v>
      </c>
      <c r="H21" s="20"/>
      <c r="I21" s="20">
        <f t="shared" si="4"/>
        <v>0</v>
      </c>
      <c r="J21" s="20">
        <f t="shared" si="5"/>
        <v>-212333</v>
      </c>
      <c r="K21" s="20">
        <f t="shared" si="5"/>
        <v>-1304279</v>
      </c>
      <c r="L21" s="20"/>
      <c r="M21" s="20">
        <v>0</v>
      </c>
      <c r="N21" s="20">
        <v>-221805.43</v>
      </c>
      <c r="O21" s="20">
        <v>-1351970.05</v>
      </c>
      <c r="P21" s="20"/>
      <c r="Q21" s="20">
        <v>0</v>
      </c>
      <c r="R21" s="61">
        <v>-202860.16</v>
      </c>
      <c r="S21" s="61">
        <v>-1256588.22</v>
      </c>
      <c r="T21" s="20"/>
      <c r="U21" s="2"/>
      <c r="V21" s="2"/>
      <c r="W21" s="2"/>
      <c r="X21" s="2"/>
      <c r="Y21" s="2"/>
    </row>
    <row r="22" spans="1:25" ht="15">
      <c r="A22" s="40">
        <f t="shared" si="3"/>
        <v>6</v>
      </c>
      <c r="B22" s="41" t="s">
        <v>670</v>
      </c>
      <c r="C22" s="20">
        <f t="shared" si="0"/>
        <v>0</v>
      </c>
      <c r="D22" s="20">
        <f>SUM(Q22:S22)</f>
        <v>23994.620000000003</v>
      </c>
      <c r="E22" s="20"/>
      <c r="F22" s="20"/>
      <c r="G22" s="20">
        <f>ROUND(SUM(C22:F22)/2,0)</f>
        <v>11997</v>
      </c>
      <c r="H22" s="20"/>
      <c r="I22" s="20">
        <f>(+M22+Q22)/2</f>
        <v>0</v>
      </c>
      <c r="J22" s="20">
        <f>ROUND((+N22+R22)/2,0)</f>
        <v>2322</v>
      </c>
      <c r="K22" s="20">
        <f>ROUND((+O22+S22)/2,0)</f>
        <v>9675</v>
      </c>
      <c r="L22" s="20"/>
      <c r="M22" s="20">
        <v>0</v>
      </c>
      <c r="N22" s="61">
        <v>0</v>
      </c>
      <c r="O22" s="61">
        <v>0</v>
      </c>
      <c r="P22" s="20"/>
      <c r="Q22" s="20">
        <v>0</v>
      </c>
      <c r="R22" s="61">
        <v>4644.15</v>
      </c>
      <c r="S22" s="61">
        <v>19350.47</v>
      </c>
      <c r="T22" s="20"/>
      <c r="U22" s="2"/>
      <c r="V22" s="2"/>
      <c r="W22" s="2"/>
      <c r="X22" s="2"/>
      <c r="Y22" s="2"/>
    </row>
    <row r="23" spans="1:25" ht="15">
      <c r="A23" s="40">
        <f t="shared" si="3"/>
        <v>7</v>
      </c>
      <c r="B23" s="20" t="s">
        <v>171</v>
      </c>
      <c r="C23" s="20">
        <f t="shared" si="0"/>
        <v>83957.65</v>
      </c>
      <c r="D23" s="20">
        <f t="shared" si="1"/>
        <v>102656.85</v>
      </c>
      <c r="E23" s="20"/>
      <c r="F23" s="20"/>
      <c r="G23" s="20">
        <f t="shared" si="2"/>
        <v>93307</v>
      </c>
      <c r="H23" s="20"/>
      <c r="I23" s="20">
        <f t="shared" si="4"/>
        <v>0</v>
      </c>
      <c r="J23" s="20">
        <f t="shared" si="5"/>
        <v>23109</v>
      </c>
      <c r="K23" s="20">
        <f t="shared" si="5"/>
        <v>70198</v>
      </c>
      <c r="L23" s="20"/>
      <c r="M23" s="20">
        <v>0</v>
      </c>
      <c r="N23" s="61">
        <v>20299.64</v>
      </c>
      <c r="O23" s="61">
        <v>63658.01</v>
      </c>
      <c r="P23" s="20"/>
      <c r="Q23" s="20">
        <v>0</v>
      </c>
      <c r="R23" s="61">
        <v>25918.9</v>
      </c>
      <c r="S23" s="61">
        <v>76737.95</v>
      </c>
      <c r="T23" s="20"/>
      <c r="U23" s="2"/>
      <c r="V23" s="2"/>
      <c r="W23" s="2"/>
      <c r="X23" s="2"/>
      <c r="Y23" s="2"/>
    </row>
    <row r="24" spans="1:25" ht="15">
      <c r="A24" s="40">
        <f t="shared" si="3"/>
        <v>8</v>
      </c>
      <c r="B24" s="20" t="s">
        <v>173</v>
      </c>
      <c r="C24" s="20">
        <f t="shared" si="0"/>
        <v>75000.4</v>
      </c>
      <c r="D24" s="20">
        <f t="shared" si="1"/>
        <v>103719.33</v>
      </c>
      <c r="E24" s="20"/>
      <c r="F24" s="20"/>
      <c r="G24" s="20">
        <f t="shared" si="2"/>
        <v>89360</v>
      </c>
      <c r="H24" s="20"/>
      <c r="I24" s="20">
        <f t="shared" si="4"/>
        <v>0</v>
      </c>
      <c r="J24" s="20">
        <f t="shared" si="5"/>
        <v>25092</v>
      </c>
      <c r="K24" s="20">
        <f t="shared" si="5"/>
        <v>64268</v>
      </c>
      <c r="L24" s="20"/>
      <c r="M24" s="20">
        <v>0</v>
      </c>
      <c r="N24" s="61">
        <v>23926.96</v>
      </c>
      <c r="O24" s="61">
        <v>51073.44</v>
      </c>
      <c r="P24" s="20"/>
      <c r="Q24" s="20">
        <v>0</v>
      </c>
      <c r="R24" s="61">
        <v>26257.13</v>
      </c>
      <c r="S24" s="61">
        <v>77462.2</v>
      </c>
      <c r="T24" s="20"/>
      <c r="U24" s="2"/>
      <c r="V24" s="2"/>
      <c r="W24" s="2"/>
      <c r="X24" s="2"/>
      <c r="Y24" s="2"/>
    </row>
    <row r="25" spans="1:25" ht="15">
      <c r="A25" s="40">
        <f t="shared" si="3"/>
        <v>9</v>
      </c>
      <c r="B25" s="25" t="s">
        <v>429</v>
      </c>
      <c r="C25" s="20">
        <f t="shared" si="0"/>
        <v>30249.89</v>
      </c>
      <c r="D25" s="20">
        <f t="shared" si="1"/>
        <v>0</v>
      </c>
      <c r="E25" s="20"/>
      <c r="F25" s="20"/>
      <c r="G25" s="20">
        <f>ROUND(SUM(C25:F25)/2,0)</f>
        <v>15125</v>
      </c>
      <c r="H25" s="20"/>
      <c r="I25" s="20">
        <f t="shared" si="4"/>
        <v>0</v>
      </c>
      <c r="J25" s="20">
        <f t="shared" si="5"/>
        <v>0</v>
      </c>
      <c r="K25" s="20">
        <f t="shared" si="5"/>
        <v>15125</v>
      </c>
      <c r="L25" s="20"/>
      <c r="M25" s="20">
        <v>0</v>
      </c>
      <c r="N25" s="61">
        <v>0</v>
      </c>
      <c r="O25" s="61">
        <v>30249.89</v>
      </c>
      <c r="P25" s="20"/>
      <c r="Q25" s="20">
        <v>0</v>
      </c>
      <c r="R25" s="61">
        <v>0</v>
      </c>
      <c r="S25" s="61">
        <v>0</v>
      </c>
      <c r="T25" s="20"/>
      <c r="U25" s="2"/>
      <c r="V25" s="2"/>
      <c r="W25" s="2"/>
      <c r="X25" s="2"/>
      <c r="Y25" s="2"/>
    </row>
    <row r="26" spans="1:25" ht="15">
      <c r="A26" s="40">
        <f t="shared" si="3"/>
        <v>10</v>
      </c>
      <c r="B26" s="20" t="s">
        <v>176</v>
      </c>
      <c r="C26" s="20">
        <f t="shared" si="0"/>
        <v>-0.09000000000000008</v>
      </c>
      <c r="D26" s="20">
        <f t="shared" si="1"/>
        <v>-0.09000000000000008</v>
      </c>
      <c r="E26" s="20"/>
      <c r="F26" s="20"/>
      <c r="G26" s="20">
        <f t="shared" si="2"/>
        <v>0</v>
      </c>
      <c r="H26" s="20"/>
      <c r="I26" s="20">
        <f t="shared" si="4"/>
        <v>0</v>
      </c>
      <c r="J26" s="20">
        <f t="shared" si="5"/>
        <v>0</v>
      </c>
      <c r="K26" s="20">
        <f t="shared" si="5"/>
        <v>0</v>
      </c>
      <c r="L26" s="20"/>
      <c r="M26" s="20">
        <v>0</v>
      </c>
      <c r="N26" s="61">
        <f>1-1</f>
        <v>0</v>
      </c>
      <c r="O26" s="61">
        <f>-1.09+1</f>
        <v>-0.09000000000000008</v>
      </c>
      <c r="P26" s="20"/>
      <c r="Q26" s="20">
        <v>0</v>
      </c>
      <c r="R26" s="61">
        <f>1-1</f>
        <v>0</v>
      </c>
      <c r="S26" s="61">
        <f>-1.09+1</f>
        <v>-0.09000000000000008</v>
      </c>
      <c r="T26" s="20"/>
      <c r="U26" s="2"/>
      <c r="V26" s="2"/>
      <c r="W26" s="2"/>
      <c r="X26" s="2"/>
      <c r="Y26" s="2"/>
    </row>
    <row r="27" spans="1:25" ht="15">
      <c r="A27" s="40">
        <f t="shared" si="3"/>
        <v>11</v>
      </c>
      <c r="B27" s="62" t="s">
        <v>177</v>
      </c>
      <c r="C27" s="20">
        <f t="shared" si="0"/>
        <v>-6805.25</v>
      </c>
      <c r="D27" s="20">
        <f t="shared" si="1"/>
        <v>-220</v>
      </c>
      <c r="E27" s="20"/>
      <c r="F27" s="20"/>
      <c r="G27" s="20">
        <f>ROUND(SUM(C27:F27)/2,0)</f>
        <v>-3513</v>
      </c>
      <c r="H27" s="20"/>
      <c r="I27" s="20">
        <f t="shared" si="4"/>
        <v>0</v>
      </c>
      <c r="J27" s="20">
        <f t="shared" si="5"/>
        <v>122</v>
      </c>
      <c r="K27" s="20">
        <f t="shared" si="5"/>
        <v>-3635</v>
      </c>
      <c r="L27" s="20"/>
      <c r="M27" s="20">
        <v>0</v>
      </c>
      <c r="N27" s="61">
        <f>-6543.25+6290</f>
        <v>-253.25</v>
      </c>
      <c r="O27" s="61">
        <f>-12586+6034</f>
        <v>-6552</v>
      </c>
      <c r="P27" s="20"/>
      <c r="Q27" s="20">
        <v>0</v>
      </c>
      <c r="R27" s="61">
        <f>-5792.15+6290</f>
        <v>497.85000000000036</v>
      </c>
      <c r="S27" s="61">
        <f>-6751.85+6034</f>
        <v>-717.8500000000004</v>
      </c>
      <c r="T27" s="20"/>
      <c r="U27" s="2"/>
      <c r="V27" s="2"/>
      <c r="W27" s="2"/>
      <c r="X27" s="2"/>
      <c r="Y27" s="2"/>
    </row>
    <row r="28" spans="1:25" ht="15">
      <c r="A28" s="40">
        <f t="shared" si="3"/>
        <v>12</v>
      </c>
      <c r="B28" s="62" t="s">
        <v>178</v>
      </c>
      <c r="C28" s="20">
        <f t="shared" si="0"/>
        <v>349.95</v>
      </c>
      <c r="D28" s="20">
        <f t="shared" si="1"/>
        <v>-343.40000000000003</v>
      </c>
      <c r="E28" s="20"/>
      <c r="F28" s="20"/>
      <c r="G28" s="20">
        <f>ROUND(SUM(C28:F28)/2,0)</f>
        <v>3</v>
      </c>
      <c r="H28" s="20"/>
      <c r="I28" s="20">
        <f t="shared" si="4"/>
        <v>0</v>
      </c>
      <c r="J28" s="20">
        <f t="shared" si="5"/>
        <v>-190</v>
      </c>
      <c r="K28" s="20">
        <f t="shared" si="5"/>
        <v>193</v>
      </c>
      <c r="L28" s="20"/>
      <c r="M28" s="20">
        <v>0</v>
      </c>
      <c r="N28" s="61">
        <f>-25.55-80</f>
        <v>-105.55</v>
      </c>
      <c r="O28" s="61">
        <f>535.5-80</f>
        <v>455.5</v>
      </c>
      <c r="P28" s="20"/>
      <c r="Q28" s="20">
        <v>0</v>
      </c>
      <c r="R28" s="61">
        <f>-194.6-80</f>
        <v>-274.6</v>
      </c>
      <c r="S28" s="61">
        <f>11.2-80</f>
        <v>-68.8</v>
      </c>
      <c r="T28" s="20"/>
      <c r="U28" s="2"/>
      <c r="V28" s="2"/>
      <c r="W28" s="2"/>
      <c r="X28" s="2"/>
      <c r="Y28" s="2"/>
    </row>
    <row r="29" spans="1:25" ht="15">
      <c r="A29" s="40">
        <f t="shared" si="3"/>
        <v>13</v>
      </c>
      <c r="B29" s="20" t="s">
        <v>179</v>
      </c>
      <c r="C29" s="20">
        <f t="shared" si="0"/>
        <v>-821.9699999999999</v>
      </c>
      <c r="D29" s="20">
        <f t="shared" si="1"/>
        <v>-27866.119999999995</v>
      </c>
      <c r="E29" s="20"/>
      <c r="F29" s="20"/>
      <c r="G29" s="20">
        <f t="shared" si="2"/>
        <v>-14344</v>
      </c>
      <c r="H29" s="20"/>
      <c r="I29" s="20">
        <f t="shared" si="4"/>
        <v>0</v>
      </c>
      <c r="J29" s="20">
        <f t="shared" si="5"/>
        <v>35959</v>
      </c>
      <c r="K29" s="20">
        <f t="shared" si="5"/>
        <v>-50303</v>
      </c>
      <c r="L29" s="20"/>
      <c r="M29" s="20">
        <v>0</v>
      </c>
      <c r="N29" s="61">
        <v>-821.8</v>
      </c>
      <c r="O29" s="61">
        <v>-0.17</v>
      </c>
      <c r="P29" s="20"/>
      <c r="Q29" s="20">
        <v>0</v>
      </c>
      <c r="R29" s="61">
        <v>72739.8</v>
      </c>
      <c r="S29" s="61">
        <v>-100605.92</v>
      </c>
      <c r="T29" s="20"/>
      <c r="U29" s="2"/>
      <c r="V29" s="2"/>
      <c r="W29" s="2"/>
      <c r="X29" s="2"/>
      <c r="Y29" s="2"/>
    </row>
    <row r="30" spans="1:25" ht="15">
      <c r="A30" s="40">
        <f t="shared" si="3"/>
        <v>14</v>
      </c>
      <c r="B30" s="20" t="s">
        <v>181</v>
      </c>
      <c r="C30" s="20">
        <f t="shared" si="0"/>
        <v>7780.84</v>
      </c>
      <c r="D30" s="20">
        <f t="shared" si="1"/>
        <v>7780.84</v>
      </c>
      <c r="E30" s="20"/>
      <c r="F30" s="20"/>
      <c r="G30" s="20">
        <f t="shared" si="2"/>
        <v>7781</v>
      </c>
      <c r="H30" s="20"/>
      <c r="I30" s="20">
        <f t="shared" si="4"/>
        <v>0</v>
      </c>
      <c r="J30" s="20">
        <f t="shared" si="5"/>
        <v>7781</v>
      </c>
      <c r="K30" s="20">
        <f t="shared" si="5"/>
        <v>0</v>
      </c>
      <c r="L30" s="20"/>
      <c r="M30" s="20">
        <v>0</v>
      </c>
      <c r="N30" s="61">
        <v>7780.84</v>
      </c>
      <c r="O30" s="9">
        <v>0</v>
      </c>
      <c r="P30" s="20"/>
      <c r="Q30" s="20">
        <v>0</v>
      </c>
      <c r="R30" s="61">
        <v>7780.84</v>
      </c>
      <c r="S30" s="61">
        <v>0</v>
      </c>
      <c r="T30" s="20"/>
      <c r="U30" s="2"/>
      <c r="V30" s="2"/>
      <c r="W30" s="2"/>
      <c r="X30" s="2"/>
      <c r="Y30" s="2"/>
    </row>
    <row r="31" spans="1:25" ht="15">
      <c r="A31" s="40">
        <f t="shared" si="3"/>
        <v>15</v>
      </c>
      <c r="B31" s="20" t="s">
        <v>195</v>
      </c>
      <c r="C31" s="20">
        <f aca="true" t="shared" si="6" ref="C31:C43">SUM(M31:O31)</f>
        <v>32144.88</v>
      </c>
      <c r="D31" s="20">
        <f t="shared" si="1"/>
        <v>33303.78</v>
      </c>
      <c r="E31" s="20"/>
      <c r="F31" s="20"/>
      <c r="G31" s="20">
        <f t="shared" si="2"/>
        <v>32724</v>
      </c>
      <c r="H31" s="20"/>
      <c r="I31" s="20">
        <f t="shared" si="4"/>
        <v>0</v>
      </c>
      <c r="J31" s="20">
        <f t="shared" si="5"/>
        <v>0</v>
      </c>
      <c r="K31" s="20">
        <f t="shared" si="5"/>
        <v>32724</v>
      </c>
      <c r="L31" s="20"/>
      <c r="M31" s="20">
        <v>0</v>
      </c>
      <c r="N31" s="9">
        <v>0</v>
      </c>
      <c r="O31" s="61">
        <v>32144.88</v>
      </c>
      <c r="P31" s="20"/>
      <c r="Q31" s="20">
        <v>0</v>
      </c>
      <c r="R31" s="61">
        <v>0</v>
      </c>
      <c r="S31" s="61">
        <v>33303.78</v>
      </c>
      <c r="T31" s="20"/>
      <c r="U31" s="2"/>
      <c r="V31" s="2"/>
      <c r="W31" s="2"/>
      <c r="X31" s="2"/>
      <c r="Y31" s="2"/>
    </row>
    <row r="32" spans="1:25" ht="15">
      <c r="A32" s="40">
        <f t="shared" si="3"/>
        <v>16</v>
      </c>
      <c r="B32" s="20" t="s">
        <v>199</v>
      </c>
      <c r="C32" s="20">
        <f t="shared" si="6"/>
        <v>-677</v>
      </c>
      <c r="D32" s="20">
        <f t="shared" si="1"/>
        <v>-337</v>
      </c>
      <c r="E32" s="20"/>
      <c r="F32" s="20"/>
      <c r="G32" s="20">
        <f t="shared" si="2"/>
        <v>-507</v>
      </c>
      <c r="H32" s="20"/>
      <c r="I32" s="20">
        <f t="shared" si="4"/>
        <v>0</v>
      </c>
      <c r="J32" s="20">
        <f t="shared" si="5"/>
        <v>-585</v>
      </c>
      <c r="K32" s="20">
        <f t="shared" si="5"/>
        <v>78</v>
      </c>
      <c r="L32" s="20"/>
      <c r="M32" s="20">
        <v>0</v>
      </c>
      <c r="N32" s="61">
        <v>-670</v>
      </c>
      <c r="O32" s="61">
        <v>-7</v>
      </c>
      <c r="P32" s="20"/>
      <c r="Q32" s="20">
        <v>0</v>
      </c>
      <c r="R32" s="61">
        <v>-499</v>
      </c>
      <c r="S32" s="61">
        <v>162</v>
      </c>
      <c r="T32" s="20"/>
      <c r="U32" s="2"/>
      <c r="V32" s="2"/>
      <c r="W32" s="2"/>
      <c r="X32" s="2"/>
      <c r="Y32" s="2"/>
    </row>
    <row r="33" spans="1:25" ht="15">
      <c r="A33" s="40">
        <f t="shared" si="3"/>
        <v>17</v>
      </c>
      <c r="B33" s="25" t="s">
        <v>124</v>
      </c>
      <c r="C33" s="20">
        <f>SUM(M33:O33)</f>
        <v>-47167.399999999994</v>
      </c>
      <c r="D33" s="20">
        <f>SUM(Q33:S33)</f>
        <v>-53667.25</v>
      </c>
      <c r="E33" s="20"/>
      <c r="F33" s="20"/>
      <c r="G33" s="20">
        <f>ROUND(SUM(C33:F33)/2,0)</f>
        <v>-50417</v>
      </c>
      <c r="H33" s="20"/>
      <c r="I33" s="20">
        <f t="shared" si="4"/>
        <v>0</v>
      </c>
      <c r="J33" s="20">
        <f t="shared" si="5"/>
        <v>-5315</v>
      </c>
      <c r="K33" s="20">
        <f t="shared" si="5"/>
        <v>-45102</v>
      </c>
      <c r="L33" s="20"/>
      <c r="M33" s="20">
        <v>0</v>
      </c>
      <c r="N33" s="61">
        <v>-7240.45</v>
      </c>
      <c r="O33" s="61">
        <v>-39926.95</v>
      </c>
      <c r="P33" s="20"/>
      <c r="Q33" s="20">
        <v>0</v>
      </c>
      <c r="R33" s="61">
        <v>-3390.1</v>
      </c>
      <c r="S33" s="61">
        <v>-50277.15</v>
      </c>
      <c r="T33" s="20"/>
      <c r="U33" s="2"/>
      <c r="V33" s="2"/>
      <c r="W33" s="2"/>
      <c r="X33" s="2"/>
      <c r="Y33" s="2"/>
    </row>
    <row r="34" spans="1:25" ht="15">
      <c r="A34" s="40">
        <f t="shared" si="3"/>
        <v>18</v>
      </c>
      <c r="B34" s="20" t="s">
        <v>201</v>
      </c>
      <c r="C34" s="20">
        <f t="shared" si="6"/>
        <v>274001</v>
      </c>
      <c r="D34" s="20">
        <f t="shared" si="1"/>
        <v>7408</v>
      </c>
      <c r="E34" s="20"/>
      <c r="F34" s="20"/>
      <c r="G34" s="20">
        <f t="shared" si="2"/>
        <v>140705</v>
      </c>
      <c r="H34" s="20"/>
      <c r="I34" s="20">
        <f t="shared" si="4"/>
        <v>0</v>
      </c>
      <c r="J34" s="20">
        <f t="shared" si="5"/>
        <v>16786</v>
      </c>
      <c r="K34" s="20">
        <f t="shared" si="5"/>
        <v>123919</v>
      </c>
      <c r="L34" s="20"/>
      <c r="M34" s="20">
        <v>0</v>
      </c>
      <c r="N34" s="61">
        <v>35729</v>
      </c>
      <c r="O34" s="61">
        <v>238272</v>
      </c>
      <c r="P34" s="20"/>
      <c r="Q34" s="20">
        <v>0</v>
      </c>
      <c r="R34" s="61">
        <v>-2158</v>
      </c>
      <c r="S34" s="61">
        <v>9566</v>
      </c>
      <c r="T34" s="20"/>
      <c r="U34" s="2"/>
      <c r="V34" s="2"/>
      <c r="W34" s="2"/>
      <c r="X34" s="2"/>
      <c r="Y34" s="2"/>
    </row>
    <row r="35" spans="1:25" ht="15">
      <c r="A35" s="40">
        <f t="shared" si="3"/>
        <v>19</v>
      </c>
      <c r="B35" s="62" t="s">
        <v>202</v>
      </c>
      <c r="C35" s="20">
        <f>SUM(M35:O35)</f>
        <v>170517.19999999998</v>
      </c>
      <c r="D35" s="20">
        <f t="shared" si="1"/>
        <v>187246.5</v>
      </c>
      <c r="E35" s="20"/>
      <c r="F35" s="20"/>
      <c r="G35" s="20">
        <f t="shared" si="2"/>
        <v>178882</v>
      </c>
      <c r="H35" s="20"/>
      <c r="I35" s="20">
        <f t="shared" si="4"/>
        <v>0</v>
      </c>
      <c r="J35" s="20">
        <f t="shared" si="5"/>
        <v>20894</v>
      </c>
      <c r="K35" s="20">
        <f t="shared" si="5"/>
        <v>157988</v>
      </c>
      <c r="L35" s="20"/>
      <c r="M35" s="20">
        <v>0</v>
      </c>
      <c r="N35" s="61">
        <v>20036.8</v>
      </c>
      <c r="O35" s="61">
        <v>150480.4</v>
      </c>
      <c r="P35" s="20"/>
      <c r="Q35" s="20">
        <v>0</v>
      </c>
      <c r="R35" s="61">
        <v>21751.45</v>
      </c>
      <c r="S35" s="61">
        <v>165495.05</v>
      </c>
      <c r="T35" s="20"/>
      <c r="U35" s="2"/>
      <c r="V35" s="2"/>
      <c r="W35" s="2"/>
      <c r="X35" s="2"/>
      <c r="Y35" s="2"/>
    </row>
    <row r="36" spans="1:25" ht="15">
      <c r="A36" s="40">
        <f t="shared" si="3"/>
        <v>20</v>
      </c>
      <c r="B36" s="62" t="s">
        <v>203</v>
      </c>
      <c r="C36" s="20">
        <f>SUM(M36:O36)</f>
        <v>210338.11</v>
      </c>
      <c r="D36" s="20">
        <f t="shared" si="1"/>
        <v>-405038.21</v>
      </c>
      <c r="E36" s="20"/>
      <c r="F36" s="20"/>
      <c r="G36" s="20">
        <f t="shared" si="2"/>
        <v>-97350</v>
      </c>
      <c r="H36" s="20"/>
      <c r="I36" s="20">
        <f t="shared" si="4"/>
        <v>0</v>
      </c>
      <c r="J36" s="20">
        <f t="shared" si="5"/>
        <v>-14965</v>
      </c>
      <c r="K36" s="20">
        <f t="shared" si="5"/>
        <v>-82385</v>
      </c>
      <c r="L36" s="20"/>
      <c r="M36" s="20">
        <v>0</v>
      </c>
      <c r="N36" s="61">
        <v>27838.27</v>
      </c>
      <c r="O36" s="61">
        <v>182499.84</v>
      </c>
      <c r="P36" s="20"/>
      <c r="Q36" s="20">
        <v>0</v>
      </c>
      <c r="R36" s="61">
        <v>-57767.44</v>
      </c>
      <c r="S36" s="61">
        <v>-347270.77</v>
      </c>
      <c r="T36" s="20"/>
      <c r="U36" s="2"/>
      <c r="V36" s="2"/>
      <c r="W36" s="2"/>
      <c r="X36" s="2"/>
      <c r="Y36" s="2"/>
    </row>
    <row r="37" spans="1:25" ht="15">
      <c r="A37" s="40">
        <f t="shared" si="3"/>
        <v>21</v>
      </c>
      <c r="B37" s="20" t="s">
        <v>383</v>
      </c>
      <c r="C37" s="20">
        <f t="shared" si="6"/>
        <v>133984.14</v>
      </c>
      <c r="D37" s="20">
        <f t="shared" si="1"/>
        <v>120174.35</v>
      </c>
      <c r="E37" s="20"/>
      <c r="F37" s="20"/>
      <c r="G37" s="20">
        <f t="shared" si="2"/>
        <v>127079</v>
      </c>
      <c r="H37" s="20"/>
      <c r="I37" s="20">
        <f t="shared" si="4"/>
        <v>0</v>
      </c>
      <c r="J37" s="20">
        <f t="shared" si="5"/>
        <v>60689</v>
      </c>
      <c r="K37" s="20">
        <f t="shared" si="5"/>
        <v>66390</v>
      </c>
      <c r="L37" s="20"/>
      <c r="M37" s="20">
        <v>0</v>
      </c>
      <c r="N37" s="61">
        <v>81582.55</v>
      </c>
      <c r="O37" s="61">
        <v>52401.59</v>
      </c>
      <c r="P37" s="20"/>
      <c r="Q37" s="20">
        <v>0</v>
      </c>
      <c r="R37" s="61">
        <v>39796.22</v>
      </c>
      <c r="S37" s="61">
        <v>80378.13</v>
      </c>
      <c r="T37" s="20"/>
      <c r="U37" s="2"/>
      <c r="V37" s="2"/>
      <c r="W37" s="2"/>
      <c r="X37" s="2"/>
      <c r="Y37" s="2"/>
    </row>
    <row r="38" spans="1:25" ht="15">
      <c r="A38" s="40">
        <f t="shared" si="3"/>
        <v>22</v>
      </c>
      <c r="B38" s="62" t="s">
        <v>396</v>
      </c>
      <c r="C38" s="20">
        <f t="shared" si="6"/>
        <v>5159</v>
      </c>
      <c r="D38" s="20">
        <f t="shared" si="1"/>
        <v>5194.35</v>
      </c>
      <c r="E38" s="20"/>
      <c r="F38" s="20"/>
      <c r="G38" s="20">
        <f t="shared" si="2"/>
        <v>5177</v>
      </c>
      <c r="H38" s="20"/>
      <c r="I38" s="20">
        <f t="shared" si="4"/>
        <v>0</v>
      </c>
      <c r="J38" s="20">
        <f t="shared" si="5"/>
        <v>1473</v>
      </c>
      <c r="K38" s="20">
        <f t="shared" si="5"/>
        <v>3704</v>
      </c>
      <c r="L38" s="20"/>
      <c r="M38" s="20">
        <v>0</v>
      </c>
      <c r="N38" s="61">
        <v>1467.9</v>
      </c>
      <c r="O38" s="61">
        <v>3691.1</v>
      </c>
      <c r="P38" s="20"/>
      <c r="Q38" s="20">
        <v>0</v>
      </c>
      <c r="R38" s="61">
        <v>1478.05</v>
      </c>
      <c r="S38" s="61">
        <v>3716.3</v>
      </c>
      <c r="T38" s="20"/>
      <c r="U38" s="2"/>
      <c r="V38" s="2"/>
      <c r="W38" s="2"/>
      <c r="X38" s="2"/>
      <c r="Y38" s="2"/>
    </row>
    <row r="39" spans="1:25" ht="15">
      <c r="A39" s="40">
        <f t="shared" si="3"/>
        <v>23</v>
      </c>
      <c r="B39" s="62" t="s">
        <v>210</v>
      </c>
      <c r="C39" s="20">
        <f t="shared" si="6"/>
        <v>0</v>
      </c>
      <c r="D39" s="20">
        <f t="shared" si="1"/>
        <v>0</v>
      </c>
      <c r="E39" s="20"/>
      <c r="F39" s="20"/>
      <c r="G39" s="20">
        <f t="shared" si="2"/>
        <v>0</v>
      </c>
      <c r="H39" s="20"/>
      <c r="I39" s="20">
        <f t="shared" si="4"/>
        <v>0</v>
      </c>
      <c r="J39" s="20">
        <f t="shared" si="5"/>
        <v>0</v>
      </c>
      <c r="K39" s="20">
        <f t="shared" si="5"/>
        <v>0</v>
      </c>
      <c r="L39" s="20"/>
      <c r="M39" s="20">
        <v>0</v>
      </c>
      <c r="N39" s="9">
        <v>0</v>
      </c>
      <c r="O39" s="9">
        <v>0</v>
      </c>
      <c r="P39" s="20"/>
      <c r="Q39" s="20">
        <v>0</v>
      </c>
      <c r="R39" s="61">
        <f>-4+4</f>
        <v>0</v>
      </c>
      <c r="S39" s="61">
        <f>-4+4</f>
        <v>0</v>
      </c>
      <c r="T39" s="20"/>
      <c r="U39" s="2"/>
      <c r="V39" s="2"/>
      <c r="W39" s="2"/>
      <c r="X39" s="2"/>
      <c r="Y39" s="2"/>
    </row>
    <row r="40" spans="1:25" ht="15">
      <c r="A40" s="40">
        <f t="shared" si="3"/>
        <v>24</v>
      </c>
      <c r="B40" s="63" t="s">
        <v>211</v>
      </c>
      <c r="C40" s="20">
        <f t="shared" si="6"/>
        <v>-0.05</v>
      </c>
      <c r="D40" s="20">
        <f>SUM(Q40:S40)</f>
        <v>-0.05</v>
      </c>
      <c r="E40" s="20"/>
      <c r="F40" s="20"/>
      <c r="G40" s="20">
        <f>ROUND(SUM(C40:F40)/2,0)</f>
        <v>0</v>
      </c>
      <c r="H40" s="20"/>
      <c r="I40" s="20">
        <f t="shared" si="4"/>
        <v>0</v>
      </c>
      <c r="J40" s="20">
        <f t="shared" si="5"/>
        <v>0</v>
      </c>
      <c r="K40" s="20">
        <f t="shared" si="5"/>
        <v>0</v>
      </c>
      <c r="L40" s="20"/>
      <c r="M40" s="20">
        <v>0</v>
      </c>
      <c r="N40" s="9">
        <v>0</v>
      </c>
      <c r="O40" s="61">
        <v>-0.05</v>
      </c>
      <c r="P40" s="20"/>
      <c r="Q40" s="20">
        <v>0</v>
      </c>
      <c r="R40" s="61">
        <v>0</v>
      </c>
      <c r="S40" s="61">
        <v>-0.05</v>
      </c>
      <c r="T40" s="20"/>
      <c r="U40" s="2"/>
      <c r="V40" s="2"/>
      <c r="W40" s="2"/>
      <c r="X40" s="2"/>
      <c r="Y40" s="2"/>
    </row>
    <row r="41" spans="1:25" ht="15">
      <c r="A41" s="40">
        <f t="shared" si="3"/>
        <v>25</v>
      </c>
      <c r="B41" s="62" t="s">
        <v>212</v>
      </c>
      <c r="C41" s="20">
        <f t="shared" si="6"/>
        <v>-6688.200000000001</v>
      </c>
      <c r="D41" s="20">
        <f t="shared" si="1"/>
        <v>-3645.2999999999993</v>
      </c>
      <c r="E41" s="20"/>
      <c r="F41" s="20"/>
      <c r="G41" s="20">
        <f t="shared" si="2"/>
        <v>-5167</v>
      </c>
      <c r="H41" s="20"/>
      <c r="I41" s="20">
        <f t="shared" si="4"/>
        <v>0</v>
      </c>
      <c r="J41" s="20">
        <f t="shared" si="5"/>
        <v>-809</v>
      </c>
      <c r="K41" s="20">
        <f t="shared" si="5"/>
        <v>-4358</v>
      </c>
      <c r="L41" s="20"/>
      <c r="M41" s="20">
        <v>0</v>
      </c>
      <c r="N41" s="61">
        <f>-9070.25+7963</f>
        <v>-1107.25</v>
      </c>
      <c r="O41" s="61">
        <f>-13543.95+7963</f>
        <v>-5580.950000000001</v>
      </c>
      <c r="P41" s="20"/>
      <c r="Q41" s="20">
        <v>0</v>
      </c>
      <c r="R41" s="61">
        <f>-8473.15+7963</f>
        <v>-510.14999999999964</v>
      </c>
      <c r="S41" s="61">
        <f>-11098.15+7963</f>
        <v>-3135.1499999999996</v>
      </c>
      <c r="T41" s="20"/>
      <c r="U41" s="2"/>
      <c r="V41" s="2"/>
      <c r="W41" s="2"/>
      <c r="X41" s="2"/>
      <c r="Y41" s="2"/>
    </row>
    <row r="42" spans="1:25" ht="15">
      <c r="A42" s="40">
        <f t="shared" si="3"/>
        <v>26</v>
      </c>
      <c r="B42" s="62" t="s">
        <v>451</v>
      </c>
      <c r="C42" s="20">
        <f t="shared" si="6"/>
        <v>470.74999999999994</v>
      </c>
      <c r="D42" s="20">
        <f>SUM(Q42:S42)</f>
        <v>-2580.2</v>
      </c>
      <c r="E42" s="20"/>
      <c r="F42" s="20"/>
      <c r="G42" s="20">
        <f>ROUND(SUM(C42:F42)/2,0)</f>
        <v>-1055</v>
      </c>
      <c r="H42" s="20"/>
      <c r="I42" s="20">
        <f t="shared" si="4"/>
        <v>0</v>
      </c>
      <c r="J42" s="20">
        <f t="shared" si="5"/>
        <v>-666</v>
      </c>
      <c r="K42" s="20">
        <f t="shared" si="5"/>
        <v>-389</v>
      </c>
      <c r="L42" s="20"/>
      <c r="M42" s="20">
        <v>0</v>
      </c>
      <c r="N42" s="61">
        <v>-366.8</v>
      </c>
      <c r="O42" s="61">
        <v>837.55</v>
      </c>
      <c r="P42" s="20"/>
      <c r="Q42" s="20">
        <v>0</v>
      </c>
      <c r="R42" s="61">
        <v>-965.3</v>
      </c>
      <c r="S42" s="61">
        <v>-1614.9</v>
      </c>
      <c r="T42" s="20"/>
      <c r="U42" s="2"/>
      <c r="V42" s="2"/>
      <c r="W42" s="2"/>
      <c r="X42" s="2"/>
      <c r="Y42" s="2"/>
    </row>
    <row r="43" spans="1:25" ht="15">
      <c r="A43" s="40">
        <f t="shared" si="3"/>
        <v>27</v>
      </c>
      <c r="B43" s="63" t="s">
        <v>452</v>
      </c>
      <c r="C43" s="20">
        <f t="shared" si="6"/>
        <v>917</v>
      </c>
      <c r="D43" s="20">
        <f>SUM(Q43:S43)</f>
        <v>985</v>
      </c>
      <c r="E43" s="20"/>
      <c r="F43" s="20"/>
      <c r="G43" s="20">
        <f>ROUND(SUM(C43:F43)/2,0)</f>
        <v>951</v>
      </c>
      <c r="H43" s="20"/>
      <c r="I43" s="20">
        <f t="shared" si="4"/>
        <v>0</v>
      </c>
      <c r="J43" s="20">
        <f t="shared" si="5"/>
        <v>370</v>
      </c>
      <c r="K43" s="20">
        <f t="shared" si="5"/>
        <v>581</v>
      </c>
      <c r="L43" s="20"/>
      <c r="M43" s="20">
        <v>0</v>
      </c>
      <c r="N43" s="61">
        <v>357</v>
      </c>
      <c r="O43" s="9">
        <v>560</v>
      </c>
      <c r="P43" s="20"/>
      <c r="Q43" s="20">
        <v>0</v>
      </c>
      <c r="R43" s="61">
        <v>383</v>
      </c>
      <c r="S43" s="61">
        <v>602</v>
      </c>
      <c r="T43" s="20"/>
      <c r="U43" s="2"/>
      <c r="V43" s="2"/>
      <c r="W43" s="2"/>
      <c r="X43" s="2"/>
      <c r="Y43" s="2"/>
    </row>
    <row r="44" spans="1:25" ht="15">
      <c r="A44" s="40">
        <f t="shared" si="3"/>
        <v>28</v>
      </c>
      <c r="B44" s="20"/>
      <c r="C44" s="20"/>
      <c r="D44" s="20"/>
      <c r="E44" s="20"/>
      <c r="F44" s="20"/>
      <c r="G44" s="20">
        <f aca="true" t="shared" si="7" ref="G44:G50">ROUND(SUM(C44:F44)/2,0)</f>
        <v>0</v>
      </c>
      <c r="H44" s="20"/>
      <c r="I44" s="20"/>
      <c r="J44" s="20"/>
      <c r="K44" s="20"/>
      <c r="L44" s="20"/>
      <c r="M44" s="20"/>
      <c r="N44" s="9"/>
      <c r="O44" s="9"/>
      <c r="P44" s="20"/>
      <c r="Q44" s="20"/>
      <c r="R44" s="9"/>
      <c r="S44" s="9"/>
      <c r="T44" s="20"/>
      <c r="U44" s="2"/>
      <c r="V44" s="2"/>
      <c r="W44" s="2"/>
      <c r="X44" s="2"/>
      <c r="Y44" s="2"/>
    </row>
    <row r="45" spans="1:25" ht="15">
      <c r="A45" s="40">
        <f t="shared" si="3"/>
        <v>29</v>
      </c>
      <c r="B45" s="20" t="s">
        <v>34</v>
      </c>
      <c r="C45" s="20">
        <v>73867.86</v>
      </c>
      <c r="D45" s="20">
        <v>84691.69</v>
      </c>
      <c r="E45" s="20">
        <f aca="true" t="shared" si="8" ref="E45:F48">-C45</f>
        <v>-73867.86</v>
      </c>
      <c r="F45" s="20">
        <f t="shared" si="8"/>
        <v>-84691.69</v>
      </c>
      <c r="G45" s="20">
        <f t="shared" si="7"/>
        <v>0</v>
      </c>
      <c r="H45" s="20"/>
      <c r="I45" s="20"/>
      <c r="J45" s="20"/>
      <c r="K45" s="20"/>
      <c r="L45" s="20"/>
      <c r="M45" s="20"/>
      <c r="N45" s="9"/>
      <c r="O45" s="9"/>
      <c r="P45" s="20"/>
      <c r="Q45" s="20"/>
      <c r="R45" s="9"/>
      <c r="S45" s="9"/>
      <c r="T45" s="20"/>
      <c r="U45" s="2"/>
      <c r="V45" s="2"/>
      <c r="W45" s="2"/>
      <c r="X45" s="2"/>
      <c r="Y45" s="2"/>
    </row>
    <row r="46" spans="1:25" ht="15">
      <c r="A46" s="40">
        <f t="shared" si="3"/>
        <v>30</v>
      </c>
      <c r="B46" s="20" t="s">
        <v>221</v>
      </c>
      <c r="C46" s="64">
        <v>652449.33</v>
      </c>
      <c r="D46" s="64">
        <v>1026968.44</v>
      </c>
      <c r="E46" s="20">
        <f t="shared" si="8"/>
        <v>-652449.33</v>
      </c>
      <c r="F46" s="20">
        <f t="shared" si="8"/>
        <v>-1026968.44</v>
      </c>
      <c r="G46" s="20">
        <f t="shared" si="7"/>
        <v>0</v>
      </c>
      <c r="H46" s="20"/>
      <c r="I46" s="20"/>
      <c r="J46" s="20"/>
      <c r="K46" s="20"/>
      <c r="L46" s="20"/>
      <c r="M46" s="20"/>
      <c r="N46" s="9"/>
      <c r="O46" s="9"/>
      <c r="P46" s="20"/>
      <c r="Q46" s="20"/>
      <c r="R46" s="9"/>
      <c r="S46" s="9"/>
      <c r="T46" s="20"/>
      <c r="U46" s="2"/>
      <c r="V46" s="2"/>
      <c r="W46" s="2"/>
      <c r="X46" s="2"/>
      <c r="Y46" s="2"/>
    </row>
    <row r="47" spans="1:25" ht="15">
      <c r="A47" s="40">
        <f t="shared" si="3"/>
        <v>31</v>
      </c>
      <c r="B47" s="20" t="s">
        <v>222</v>
      </c>
      <c r="C47" s="20">
        <v>5858.47</v>
      </c>
      <c r="D47" s="20">
        <v>5083.61</v>
      </c>
      <c r="E47" s="20">
        <f t="shared" si="8"/>
        <v>-5858.47</v>
      </c>
      <c r="F47" s="20">
        <f t="shared" si="8"/>
        <v>-5083.61</v>
      </c>
      <c r="G47" s="20">
        <f t="shared" si="7"/>
        <v>0</v>
      </c>
      <c r="H47" s="20"/>
      <c r="I47" s="20"/>
      <c r="J47" s="20"/>
      <c r="K47" s="20"/>
      <c r="L47" s="20"/>
      <c r="M47" s="20"/>
      <c r="N47" s="9"/>
      <c r="O47" s="9"/>
      <c r="P47" s="20"/>
      <c r="Q47" s="20"/>
      <c r="R47" s="9"/>
      <c r="S47" s="9"/>
      <c r="T47" s="20"/>
      <c r="U47" s="2"/>
      <c r="V47" s="2"/>
      <c r="W47" s="2"/>
      <c r="X47" s="2"/>
      <c r="Y47" s="2"/>
    </row>
    <row r="48" spans="1:25" ht="15">
      <c r="A48" s="40">
        <f t="shared" si="3"/>
        <v>32</v>
      </c>
      <c r="B48" s="20" t="s">
        <v>223</v>
      </c>
      <c r="C48" s="20">
        <v>0</v>
      </c>
      <c r="D48" s="20">
        <v>0</v>
      </c>
      <c r="E48" s="20">
        <f t="shared" si="8"/>
        <v>0</v>
      </c>
      <c r="F48" s="20">
        <f t="shared" si="8"/>
        <v>0</v>
      </c>
      <c r="G48" s="20">
        <f t="shared" si="7"/>
        <v>0</v>
      </c>
      <c r="H48" s="20"/>
      <c r="I48" s="20"/>
      <c r="J48" s="20"/>
      <c r="K48" s="20"/>
      <c r="L48" s="20"/>
      <c r="M48" s="20"/>
      <c r="N48" s="9"/>
      <c r="O48" s="9"/>
      <c r="P48" s="20"/>
      <c r="Q48" s="20"/>
      <c r="R48" s="9"/>
      <c r="S48" s="9"/>
      <c r="T48" s="20"/>
      <c r="U48" s="2"/>
      <c r="V48" s="2"/>
      <c r="W48" s="2"/>
      <c r="X48" s="2"/>
      <c r="Y48" s="2"/>
    </row>
    <row r="49" spans="1:25" ht="15">
      <c r="A49" s="40">
        <f t="shared" si="3"/>
        <v>33</v>
      </c>
      <c r="B49" s="25" t="s">
        <v>224</v>
      </c>
      <c r="C49" s="20">
        <v>0</v>
      </c>
      <c r="D49" s="20">
        <v>0</v>
      </c>
      <c r="E49" s="20">
        <f>-C49</f>
        <v>0</v>
      </c>
      <c r="F49" s="20">
        <f>-D49</f>
        <v>0</v>
      </c>
      <c r="G49" s="20">
        <f t="shared" si="7"/>
        <v>0</v>
      </c>
      <c r="H49" s="20"/>
      <c r="I49" s="20"/>
      <c r="J49" s="20"/>
      <c r="K49" s="20"/>
      <c r="L49" s="20"/>
      <c r="M49" s="20"/>
      <c r="N49" s="9"/>
      <c r="O49" s="9"/>
      <c r="P49" s="20"/>
      <c r="Q49" s="20"/>
      <c r="R49" s="9"/>
      <c r="S49" s="9"/>
      <c r="T49" s="20"/>
      <c r="U49" s="2"/>
      <c r="V49" s="2"/>
      <c r="W49" s="2"/>
      <c r="X49" s="2"/>
      <c r="Y49" s="2"/>
    </row>
    <row r="50" spans="1:25" ht="15">
      <c r="A50" s="40">
        <f t="shared" si="3"/>
        <v>34</v>
      </c>
      <c r="B50" s="25" t="s">
        <v>398</v>
      </c>
      <c r="C50" s="20">
        <v>0</v>
      </c>
      <c r="D50" s="20">
        <v>0</v>
      </c>
      <c r="E50" s="20">
        <f>-C50</f>
        <v>0</v>
      </c>
      <c r="F50" s="20">
        <f>-D50</f>
        <v>0</v>
      </c>
      <c r="G50" s="20">
        <f t="shared" si="7"/>
        <v>0</v>
      </c>
      <c r="H50" s="20"/>
      <c r="I50" s="20"/>
      <c r="J50" s="20"/>
      <c r="K50" s="20"/>
      <c r="L50" s="20"/>
      <c r="M50" s="20"/>
      <c r="N50" s="9"/>
      <c r="O50" s="9"/>
      <c r="P50" s="20"/>
      <c r="Q50" s="20"/>
      <c r="R50" s="9"/>
      <c r="S50" s="9"/>
      <c r="T50" s="20"/>
      <c r="U50" s="2"/>
      <c r="V50" s="2"/>
      <c r="W50" s="2"/>
      <c r="X50" s="2"/>
      <c r="Y50" s="2"/>
    </row>
    <row r="51" spans="1:25" ht="15">
      <c r="A51" s="40">
        <f t="shared" si="3"/>
        <v>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9"/>
      <c r="O51" s="9"/>
      <c r="P51" s="20"/>
      <c r="Q51" s="20"/>
      <c r="R51" s="9"/>
      <c r="S51" s="9"/>
      <c r="T51" s="20"/>
      <c r="U51" s="2"/>
      <c r="V51" s="2"/>
      <c r="W51" s="2"/>
      <c r="X51" s="2"/>
      <c r="Y51" s="2"/>
    </row>
    <row r="52" spans="1:25" ht="15.75" thickBot="1">
      <c r="A52" s="40">
        <f t="shared" si="3"/>
        <v>36</v>
      </c>
      <c r="B52" s="25" t="s">
        <v>228</v>
      </c>
      <c r="C52" s="23">
        <f>SUM(C17:C51)</f>
        <v>1209798.22</v>
      </c>
      <c r="D52" s="23">
        <f>SUM(D17:D51)</f>
        <v>399601.54999999993</v>
      </c>
      <c r="E52" s="23">
        <f>SUM(E17:E51)</f>
        <v>-732175.6599999999</v>
      </c>
      <c r="F52" s="23">
        <f>SUM(F17:F51)</f>
        <v>-1116743.74</v>
      </c>
      <c r="G52" s="23">
        <f>SUM(G17:G51)</f>
        <v>-119760</v>
      </c>
      <c r="H52" s="23"/>
      <c r="I52" s="23">
        <f>SUM(I17:I51)</f>
        <v>0</v>
      </c>
      <c r="J52" s="23">
        <f>SUM(J17:J51)</f>
        <v>-3182</v>
      </c>
      <c r="K52" s="23">
        <f>SUM(K17:K51)</f>
        <v>-116578</v>
      </c>
      <c r="L52" s="23"/>
      <c r="M52" s="23">
        <f>SUM(M17:M51)</f>
        <v>0</v>
      </c>
      <c r="N52" s="18">
        <f>SUM(N17:N51)</f>
        <v>20135.860000000026</v>
      </c>
      <c r="O52" s="18">
        <f>SUM(O17:O51)</f>
        <v>457486.6999999999</v>
      </c>
      <c r="P52" s="20"/>
      <c r="Q52" s="23">
        <f>SUM(Q17:Q51)</f>
        <v>0</v>
      </c>
      <c r="R52" s="65">
        <f>SUM(R17:R51)</f>
        <v>-26497.120000000014</v>
      </c>
      <c r="S52" s="65">
        <f>SUM(S17:S51)</f>
        <v>-690645.07</v>
      </c>
      <c r="T52" s="20"/>
      <c r="U52" s="2"/>
      <c r="V52" s="2"/>
      <c r="W52" s="2"/>
      <c r="X52" s="2"/>
      <c r="Y52" s="2"/>
    </row>
    <row r="53" spans="1:25" ht="15.75" thickTop="1">
      <c r="A53" s="40"/>
      <c r="B53" s="2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66"/>
      <c r="O53" s="66"/>
      <c r="P53" s="20"/>
      <c r="Q53" s="24"/>
      <c r="R53" s="66"/>
      <c r="S53" s="66"/>
      <c r="T53" s="20"/>
      <c r="U53" s="2"/>
      <c r="V53" s="2"/>
      <c r="W53" s="2"/>
      <c r="X53" s="2"/>
      <c r="Y53" s="2"/>
    </row>
    <row r="54" spans="1:25" ht="15">
      <c r="A54" s="39"/>
      <c r="B54" s="20"/>
      <c r="C54" s="20"/>
      <c r="D54" s="20" t="s">
        <v>77</v>
      </c>
      <c r="E54" s="20"/>
      <c r="F54" s="20"/>
      <c r="G54" s="20"/>
      <c r="H54" s="20"/>
      <c r="I54" s="20"/>
      <c r="J54" s="20"/>
      <c r="K54" s="20"/>
      <c r="L54" s="20"/>
      <c r="M54" s="20"/>
      <c r="N54" s="9"/>
      <c r="O54" s="9"/>
      <c r="P54" s="20"/>
      <c r="Q54" s="20"/>
      <c r="R54" s="9"/>
      <c r="S54" s="9"/>
      <c r="T54" s="20"/>
      <c r="U54" s="2"/>
      <c r="V54" s="2"/>
      <c r="W54" s="2"/>
      <c r="X54" s="2"/>
      <c r="Y54" s="2"/>
    </row>
    <row r="55" spans="1:25" ht="15">
      <c r="A55" s="39"/>
      <c r="B55" s="20"/>
      <c r="C55" s="20"/>
      <c r="D55" s="20" t="s">
        <v>77</v>
      </c>
      <c r="E55" s="20"/>
      <c r="F55" s="20"/>
      <c r="G55" s="20"/>
      <c r="H55" s="20"/>
      <c r="I55" s="20"/>
      <c r="J55" s="20"/>
      <c r="K55" s="20"/>
      <c r="L55" s="20"/>
      <c r="M55" s="20"/>
      <c r="N55" s="9"/>
      <c r="O55" s="9"/>
      <c r="P55" s="20"/>
      <c r="Q55" s="20"/>
      <c r="R55" s="9"/>
      <c r="S55" s="9"/>
      <c r="T55" s="20"/>
      <c r="U55" s="2"/>
      <c r="V55" s="2"/>
      <c r="W55" s="2"/>
      <c r="X55" s="2"/>
      <c r="Y55" s="2"/>
    </row>
    <row r="56" spans="1:25" ht="15">
      <c r="A56" s="39"/>
      <c r="B56" s="20"/>
      <c r="C56" s="2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9"/>
      <c r="O56" s="9"/>
      <c r="P56" s="20"/>
      <c r="Q56" s="20"/>
      <c r="R56" s="9"/>
      <c r="S56" s="9"/>
      <c r="T56" s="20"/>
      <c r="U56" s="2"/>
      <c r="V56" s="2"/>
      <c r="W56" s="2"/>
      <c r="X56" s="2"/>
      <c r="Y56" s="2"/>
    </row>
    <row r="57" spans="1:25" ht="15">
      <c r="A57" s="39"/>
      <c r="B57" s="20"/>
      <c r="C57" s="2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9"/>
      <c r="O57" s="9"/>
      <c r="P57" s="20"/>
      <c r="Q57" s="20"/>
      <c r="R57" s="9"/>
      <c r="S57" s="9"/>
      <c r="T57" s="20"/>
      <c r="U57" s="2"/>
      <c r="V57" s="2"/>
      <c r="W57" s="2"/>
      <c r="X57" s="2"/>
      <c r="Y57" s="2"/>
    </row>
    <row r="58" spans="1:25" ht="15">
      <c r="A58" s="39"/>
      <c r="B58" s="20"/>
      <c r="C58" s="2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9"/>
      <c r="O58" s="9"/>
      <c r="P58" s="20"/>
      <c r="Q58" s="20"/>
      <c r="R58" s="9"/>
      <c r="S58" s="9"/>
      <c r="T58" s="20"/>
      <c r="U58" s="2"/>
      <c r="V58" s="2"/>
      <c r="W58" s="2"/>
      <c r="X58" s="2"/>
      <c r="Y58" s="2"/>
    </row>
    <row r="59" spans="1:25" ht="15">
      <c r="A59" s="39"/>
      <c r="B59" s="20"/>
      <c r="C59" s="2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9"/>
      <c r="O59" s="9"/>
      <c r="P59" s="20"/>
      <c r="Q59" s="20"/>
      <c r="R59" s="9"/>
      <c r="S59" s="9"/>
      <c r="T59" s="20"/>
      <c r="U59" s="2"/>
      <c r="V59" s="2"/>
      <c r="W59" s="2"/>
      <c r="X59" s="2"/>
      <c r="Y59" s="2"/>
    </row>
    <row r="60" spans="1:25" ht="15">
      <c r="A60" s="39"/>
      <c r="B60" s="20"/>
      <c r="C60" s="2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9"/>
      <c r="O60" s="9"/>
      <c r="P60" s="20"/>
      <c r="Q60" s="20"/>
      <c r="R60" s="9"/>
      <c r="S60" s="9"/>
      <c r="T60" s="20"/>
      <c r="U60" s="2"/>
      <c r="V60" s="2"/>
      <c r="W60" s="2"/>
      <c r="X60" s="2"/>
      <c r="Y60" s="2"/>
    </row>
    <row r="61" spans="1:25" ht="15">
      <c r="A61" s="3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9"/>
      <c r="O61" s="9"/>
      <c r="P61" s="20"/>
      <c r="Q61" s="20"/>
      <c r="R61" s="9"/>
      <c r="S61" s="9"/>
      <c r="T61" s="20"/>
      <c r="U61" s="2"/>
      <c r="V61" s="2"/>
      <c r="W61" s="2"/>
      <c r="X61" s="2"/>
      <c r="Y61" s="2"/>
    </row>
    <row r="62" spans="1:25" ht="15">
      <c r="A62" s="7"/>
      <c r="B62" s="20"/>
      <c r="C62" s="2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20"/>
      <c r="Q62" s="20"/>
      <c r="R62" s="9"/>
      <c r="S62" s="9"/>
      <c r="T62" s="20"/>
      <c r="U62" s="2"/>
      <c r="V62" s="2"/>
      <c r="W62" s="2"/>
      <c r="X62" s="2"/>
      <c r="Y62" s="2"/>
    </row>
    <row r="63" spans="1:25" ht="15">
      <c r="A63" s="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20"/>
      <c r="Q63" s="20"/>
      <c r="R63" s="9"/>
      <c r="S63" s="9"/>
      <c r="T63" s="20"/>
      <c r="U63" s="2"/>
      <c r="V63" s="2"/>
      <c r="W63" s="2"/>
      <c r="X63" s="2"/>
      <c r="Y63" s="2"/>
    </row>
    <row r="64" spans="1:25" ht="15">
      <c r="A64" s="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20"/>
      <c r="Q64" s="20"/>
      <c r="R64" s="9"/>
      <c r="S64" s="9"/>
      <c r="T64" s="20"/>
      <c r="U64" s="2"/>
      <c r="V64" s="2"/>
      <c r="W64" s="2"/>
      <c r="X64" s="2"/>
      <c r="Y64" s="2"/>
    </row>
    <row r="65" spans="1:25" ht="15">
      <c r="A65" s="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20"/>
      <c r="Q65" s="20"/>
      <c r="R65" s="9"/>
      <c r="S65" s="9"/>
      <c r="T65" s="20"/>
      <c r="U65" s="2"/>
      <c r="V65" s="2"/>
      <c r="W65" s="2"/>
      <c r="X65" s="2"/>
      <c r="Y65" s="2"/>
    </row>
    <row r="66" spans="1:25" ht="15">
      <c r="A66" s="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20"/>
      <c r="Q66" s="20"/>
      <c r="R66" s="9"/>
      <c r="S66" s="9"/>
      <c r="T66" s="20"/>
      <c r="U66" s="2"/>
      <c r="V66" s="2"/>
      <c r="W66" s="2"/>
      <c r="X66" s="2"/>
      <c r="Y66" s="2"/>
    </row>
    <row r="67" spans="1:25" ht="15">
      <c r="A67" s="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9"/>
      <c r="O67" s="9"/>
      <c r="P67" s="20"/>
      <c r="Q67" s="20"/>
      <c r="R67" s="9"/>
      <c r="S67" s="9"/>
      <c r="T67" s="20"/>
      <c r="U67" s="2"/>
      <c r="V67" s="2"/>
      <c r="W67" s="2"/>
      <c r="X67" s="2"/>
      <c r="Y67" s="2"/>
    </row>
    <row r="68" spans="1:25" ht="15">
      <c r="A68" s="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9"/>
      <c r="O68" s="9"/>
      <c r="P68" s="20"/>
      <c r="Q68" s="20"/>
      <c r="R68" s="9"/>
      <c r="S68" s="9"/>
      <c r="T68" s="20"/>
      <c r="U68" s="2"/>
      <c r="V68" s="2"/>
      <c r="W68" s="2"/>
      <c r="X68" s="2"/>
      <c r="Y68" s="2"/>
    </row>
    <row r="69" spans="1:25" ht="15">
      <c r="A69" s="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9"/>
      <c r="O69" s="9"/>
      <c r="P69" s="20"/>
      <c r="Q69" s="20"/>
      <c r="R69" s="9"/>
      <c r="S69" s="9"/>
      <c r="T69" s="20"/>
      <c r="U69" s="2"/>
      <c r="V69" s="2"/>
      <c r="W69" s="2"/>
      <c r="X69" s="2"/>
      <c r="Y69" s="2"/>
    </row>
    <row r="70" spans="1:25" ht="15">
      <c r="A70" s="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9"/>
      <c r="O70" s="9"/>
      <c r="P70" s="20"/>
      <c r="Q70" s="20"/>
      <c r="R70" s="9"/>
      <c r="S70" s="9"/>
      <c r="T70" s="20"/>
      <c r="U70" s="2"/>
      <c r="V70" s="2"/>
      <c r="W70" s="2"/>
      <c r="X70" s="2"/>
      <c r="Y70" s="2"/>
    </row>
    <row r="71" spans="1:25" ht="15">
      <c r="A71" s="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9"/>
      <c r="O71" s="9"/>
      <c r="P71" s="20"/>
      <c r="Q71" s="20"/>
      <c r="R71" s="9"/>
      <c r="S71" s="9"/>
      <c r="T71" s="20"/>
      <c r="U71" s="2"/>
      <c r="V71" s="2"/>
      <c r="W71" s="2"/>
      <c r="X71" s="2"/>
      <c r="Y71" s="2"/>
    </row>
    <row r="72" spans="1:25" ht="15">
      <c r="A72" s="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9"/>
      <c r="O72" s="9"/>
      <c r="P72" s="20"/>
      <c r="Q72" s="20"/>
      <c r="R72" s="9"/>
      <c r="S72" s="9"/>
      <c r="T72" s="20"/>
      <c r="U72" s="2"/>
      <c r="V72" s="2"/>
      <c r="W72" s="2"/>
      <c r="X72" s="2"/>
      <c r="Y72" s="2"/>
    </row>
    <row r="73" spans="1:25" ht="15">
      <c r="A73" s="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"/>
      <c r="O73" s="9"/>
      <c r="P73" s="20"/>
      <c r="Q73" s="20"/>
      <c r="R73" s="9"/>
      <c r="S73" s="9"/>
      <c r="T73" s="20"/>
      <c r="U73" s="2"/>
      <c r="V73" s="2"/>
      <c r="W73" s="2"/>
      <c r="X73" s="2"/>
      <c r="Y73" s="2"/>
    </row>
    <row r="74" spans="2:2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P74" s="2"/>
      <c r="Q74" s="2"/>
      <c r="T74" s="2"/>
      <c r="U74" s="2"/>
      <c r="V74" s="2"/>
      <c r="W74" s="2"/>
      <c r="X74" s="2"/>
      <c r="Y74" s="2"/>
    </row>
    <row r="75" spans="2:2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P75" s="2"/>
      <c r="Q75" s="2"/>
      <c r="T75" s="2"/>
      <c r="U75" s="2"/>
      <c r="V75" s="2"/>
      <c r="W75" s="2"/>
      <c r="X75" s="2"/>
      <c r="Y75" s="2"/>
    </row>
    <row r="76" spans="2:2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P76" s="2"/>
      <c r="Q76" s="2"/>
      <c r="T76" s="2"/>
      <c r="U76" s="2"/>
      <c r="V76" s="2"/>
      <c r="W76" s="2"/>
      <c r="X76" s="2"/>
      <c r="Y76" s="2"/>
    </row>
    <row r="77" spans="2:2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P77" s="2"/>
      <c r="Q77" s="2"/>
      <c r="T77" s="2"/>
      <c r="U77" s="2"/>
      <c r="V77" s="2"/>
      <c r="W77" s="2"/>
      <c r="X77" s="2"/>
      <c r="Y77" s="2"/>
    </row>
    <row r="78" spans="2:2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P78" s="2"/>
      <c r="Q78" s="2"/>
      <c r="T78" s="2"/>
      <c r="U78" s="2"/>
      <c r="V78" s="2"/>
      <c r="W78" s="2"/>
      <c r="X78" s="2"/>
      <c r="Y78" s="2"/>
    </row>
    <row r="79" spans="2:2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P79" s="2"/>
      <c r="Q79" s="2"/>
      <c r="T79" s="2"/>
      <c r="U79" s="2"/>
      <c r="V79" s="2"/>
      <c r="W79" s="2"/>
      <c r="X79" s="2"/>
      <c r="Y79" s="2"/>
    </row>
    <row r="80" spans="2:2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P80" s="2"/>
      <c r="Q80" s="2"/>
      <c r="T80" s="2"/>
      <c r="U80" s="2"/>
      <c r="V80" s="2"/>
      <c r="W80" s="2"/>
      <c r="X80" s="2"/>
      <c r="Y80" s="2"/>
    </row>
    <row r="81" spans="2:2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P81" s="2"/>
      <c r="Q81" s="2"/>
      <c r="T81" s="2"/>
      <c r="U81" s="2"/>
      <c r="V81" s="2"/>
      <c r="W81" s="2"/>
      <c r="X81" s="2"/>
      <c r="Y81" s="2"/>
    </row>
    <row r="82" spans="2:2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P82" s="2"/>
      <c r="Q82" s="2"/>
      <c r="T82" s="2"/>
      <c r="U82" s="2"/>
      <c r="V82" s="2"/>
      <c r="W82" s="2"/>
      <c r="X82" s="2"/>
      <c r="Y82" s="2"/>
    </row>
    <row r="83" spans="2:2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P83" s="2"/>
      <c r="Q83" s="2"/>
      <c r="T83" s="2"/>
      <c r="U83" s="2"/>
      <c r="V83" s="2"/>
      <c r="W83" s="2"/>
      <c r="X83" s="2"/>
      <c r="Y83" s="2"/>
    </row>
    <row r="84" spans="2:2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P84" s="2"/>
      <c r="Q84" s="2"/>
      <c r="T84" s="2"/>
      <c r="U84" s="2"/>
      <c r="V84" s="2"/>
      <c r="W84" s="2"/>
      <c r="X84" s="2"/>
      <c r="Y84" s="2"/>
    </row>
    <row r="85" spans="2:2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P85" s="2"/>
      <c r="Q85" s="2"/>
      <c r="T85" s="2"/>
      <c r="U85" s="2"/>
      <c r="V85" s="2"/>
      <c r="W85" s="2"/>
      <c r="X85" s="2"/>
      <c r="Y85" s="2"/>
    </row>
    <row r="86" spans="2:2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P86" s="2"/>
      <c r="Q86" s="2"/>
      <c r="T86" s="2"/>
      <c r="U86" s="2"/>
      <c r="V86" s="2"/>
      <c r="W86" s="2"/>
      <c r="X86" s="2"/>
      <c r="Y86" s="2"/>
    </row>
    <row r="87" spans="2:2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P87" s="2"/>
      <c r="Q87" s="2"/>
      <c r="T87" s="2"/>
      <c r="U87" s="2"/>
      <c r="V87" s="2"/>
      <c r="W87" s="2"/>
      <c r="X87" s="2"/>
      <c r="Y87" s="2"/>
    </row>
    <row r="88" spans="2:2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P88" s="2"/>
      <c r="Q88" s="2"/>
      <c r="T88" s="2"/>
      <c r="U88" s="2"/>
      <c r="V88" s="2"/>
      <c r="W88" s="2"/>
      <c r="X88" s="2"/>
      <c r="Y88" s="2"/>
    </row>
    <row r="89" spans="2:2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2"/>
      <c r="Q89" s="2"/>
      <c r="T89" s="2"/>
      <c r="U89" s="2"/>
      <c r="V89" s="2"/>
      <c r="W89" s="2"/>
      <c r="X89" s="2"/>
      <c r="Y89" s="2"/>
    </row>
    <row r="90" spans="2:2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P90" s="2"/>
      <c r="Q90" s="2"/>
      <c r="T90" s="2"/>
      <c r="U90" s="2"/>
      <c r="V90" s="2"/>
      <c r="W90" s="2"/>
      <c r="X90" s="2"/>
      <c r="Y90" s="2"/>
    </row>
    <row r="91" spans="2:2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P91" s="2"/>
      <c r="Q91" s="2"/>
      <c r="T91" s="2"/>
      <c r="U91" s="2"/>
      <c r="V91" s="2"/>
      <c r="W91" s="2"/>
      <c r="X91" s="2"/>
      <c r="Y91" s="2"/>
    </row>
    <row r="92" spans="2:2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P92" s="2"/>
      <c r="Q92" s="2"/>
      <c r="T92" s="2"/>
      <c r="U92" s="2"/>
      <c r="V92" s="2"/>
      <c r="W92" s="2"/>
      <c r="X92" s="2"/>
      <c r="Y92" s="2"/>
    </row>
    <row r="93" spans="2:2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P93" s="2"/>
      <c r="Q93" s="2"/>
      <c r="T93" s="2"/>
      <c r="U93" s="2"/>
      <c r="V93" s="2"/>
      <c r="W93" s="2"/>
      <c r="X93" s="2"/>
      <c r="Y93" s="2"/>
    </row>
    <row r="94" spans="2:2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P94" s="2"/>
      <c r="Q94" s="2"/>
      <c r="T94" s="2"/>
      <c r="U94" s="2"/>
      <c r="V94" s="2"/>
      <c r="W94" s="2"/>
      <c r="X94" s="2"/>
      <c r="Y94" s="2"/>
    </row>
    <row r="95" spans="2:2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P95" s="2"/>
      <c r="Q95" s="2"/>
      <c r="T95" s="2"/>
      <c r="U95" s="2"/>
      <c r="V95" s="2"/>
      <c r="W95" s="2"/>
      <c r="X95" s="2"/>
      <c r="Y95" s="2"/>
    </row>
    <row r="96" spans="2:2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P96" s="2"/>
      <c r="Q96" s="2"/>
      <c r="T96" s="2"/>
      <c r="U96" s="2"/>
      <c r="V96" s="2"/>
      <c r="W96" s="2"/>
      <c r="X96" s="2"/>
      <c r="Y96" s="2"/>
    </row>
    <row r="97" spans="2:2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P97" s="2"/>
      <c r="Q97" s="2"/>
      <c r="T97" s="2"/>
      <c r="U97" s="2"/>
      <c r="V97" s="2"/>
      <c r="W97" s="2"/>
      <c r="X97" s="2"/>
      <c r="Y97" s="2"/>
    </row>
    <row r="98" spans="2:2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P98" s="2"/>
      <c r="Q98" s="2"/>
      <c r="T98" s="2"/>
      <c r="U98" s="2"/>
      <c r="V98" s="2"/>
      <c r="W98" s="2"/>
      <c r="X98" s="2"/>
      <c r="Y98" s="2"/>
    </row>
    <row r="99" spans="2:2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P99" s="2"/>
      <c r="Q99" s="2"/>
      <c r="T99" s="2"/>
      <c r="U99" s="2"/>
      <c r="V99" s="2"/>
      <c r="W99" s="2"/>
      <c r="X99" s="2"/>
      <c r="Y99" s="2"/>
    </row>
    <row r="100" spans="2:2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P100" s="2"/>
      <c r="Q100" s="2"/>
      <c r="T100" s="2"/>
      <c r="U100" s="2"/>
      <c r="V100" s="2"/>
      <c r="W100" s="2"/>
      <c r="X100" s="2"/>
      <c r="Y100" s="2"/>
    </row>
    <row r="101" spans="2:2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P101" s="2"/>
      <c r="Q101" s="2"/>
      <c r="T101" s="2"/>
      <c r="U101" s="2"/>
      <c r="V101" s="2"/>
      <c r="W101" s="2"/>
      <c r="X101" s="2"/>
      <c r="Y101" s="2"/>
    </row>
    <row r="102" spans="2:2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P102" s="2"/>
      <c r="Q102" s="2"/>
      <c r="T102" s="2"/>
      <c r="U102" s="2"/>
      <c r="V102" s="2"/>
      <c r="W102" s="2"/>
      <c r="X102" s="2"/>
      <c r="Y102" s="2"/>
    </row>
    <row r="103" spans="2:2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P103" s="2"/>
      <c r="Q103" s="2"/>
      <c r="T103" s="2"/>
      <c r="U103" s="2"/>
      <c r="V103" s="2"/>
      <c r="W103" s="2"/>
      <c r="X103" s="2"/>
      <c r="Y103" s="2"/>
    </row>
    <row r="104" spans="2:2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P104" s="2"/>
      <c r="Q104" s="2"/>
      <c r="T104" s="2"/>
      <c r="U104" s="2"/>
      <c r="V104" s="2"/>
      <c r="W104" s="2"/>
      <c r="X104" s="2"/>
      <c r="Y104" s="2"/>
    </row>
    <row r="105" spans="2:2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P105" s="2"/>
      <c r="Q105" s="2"/>
      <c r="T105" s="2"/>
      <c r="U105" s="2"/>
      <c r="V105" s="2"/>
      <c r="W105" s="2"/>
      <c r="X105" s="2"/>
      <c r="Y105" s="2"/>
    </row>
    <row r="106" spans="2:2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P106" s="2"/>
      <c r="Q106" s="2"/>
      <c r="T106" s="2"/>
      <c r="U106" s="2"/>
      <c r="V106" s="2"/>
      <c r="W106" s="2"/>
      <c r="X106" s="2"/>
      <c r="Y106" s="2"/>
    </row>
    <row r="107" spans="2:2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P107" s="2"/>
      <c r="Q107" s="2"/>
      <c r="T107" s="2"/>
      <c r="U107" s="2"/>
      <c r="V107" s="2"/>
      <c r="W107" s="2"/>
      <c r="X107" s="2"/>
      <c r="Y107" s="2"/>
    </row>
    <row r="108" spans="2:2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P108" s="2"/>
      <c r="Q108" s="2"/>
      <c r="T108" s="2"/>
      <c r="U108" s="2"/>
      <c r="V108" s="2"/>
      <c r="W108" s="2"/>
      <c r="X108" s="2"/>
      <c r="Y108" s="2"/>
    </row>
    <row r="109" spans="2:2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P109" s="2"/>
      <c r="Q109" s="2"/>
      <c r="T109" s="2"/>
      <c r="U109" s="2"/>
      <c r="V109" s="2"/>
      <c r="W109" s="2"/>
      <c r="X109" s="2"/>
      <c r="Y109" s="2"/>
    </row>
    <row r="110" spans="2:2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P110" s="2"/>
      <c r="Q110" s="2"/>
      <c r="T110" s="2"/>
      <c r="U110" s="2"/>
      <c r="V110" s="2"/>
      <c r="W110" s="2"/>
      <c r="X110" s="2"/>
      <c r="Y110" s="2"/>
    </row>
    <row r="111" spans="2:2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P111" s="2"/>
      <c r="Q111" s="2"/>
      <c r="T111" s="2"/>
      <c r="U111" s="2"/>
      <c r="V111" s="2"/>
      <c r="W111" s="2"/>
      <c r="X111" s="2"/>
      <c r="Y111" s="2"/>
    </row>
    <row r="112" spans="2:2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P112" s="2"/>
      <c r="Q112" s="2"/>
      <c r="T112" s="2"/>
      <c r="U112" s="2"/>
      <c r="V112" s="2"/>
      <c r="W112" s="2"/>
      <c r="X112" s="2"/>
      <c r="Y112" s="2"/>
    </row>
    <row r="113" spans="2:2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P113" s="2"/>
      <c r="Q113" s="2"/>
      <c r="T113" s="2"/>
      <c r="U113" s="2"/>
      <c r="V113" s="2"/>
      <c r="W113" s="2"/>
      <c r="X113" s="2"/>
      <c r="Y113" s="2"/>
    </row>
    <row r="114" spans="2:2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P114" s="2"/>
      <c r="Q114" s="2"/>
      <c r="T114" s="2"/>
      <c r="U114" s="2"/>
      <c r="V114" s="2"/>
      <c r="W114" s="2"/>
      <c r="X114" s="2"/>
      <c r="Y114" s="2"/>
    </row>
    <row r="115" spans="2:2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P115" s="2"/>
      <c r="Q115" s="2"/>
      <c r="T115" s="2"/>
      <c r="U115" s="2"/>
      <c r="V115" s="2"/>
      <c r="W115" s="2"/>
      <c r="X115" s="2"/>
      <c r="Y115" s="2"/>
    </row>
    <row r="116" spans="2:2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P116" s="2"/>
      <c r="Q116" s="2"/>
      <c r="T116" s="2"/>
      <c r="U116" s="2"/>
      <c r="V116" s="2"/>
      <c r="W116" s="2"/>
      <c r="X116" s="2"/>
      <c r="Y116" s="2"/>
    </row>
    <row r="117" spans="2:2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P117" s="2"/>
      <c r="Q117" s="2"/>
      <c r="T117" s="2"/>
      <c r="U117" s="2"/>
      <c r="V117" s="2"/>
      <c r="W117" s="2"/>
      <c r="X117" s="2"/>
      <c r="Y117" s="2"/>
    </row>
    <row r="118" spans="2:2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P118" s="2"/>
      <c r="Q118" s="2"/>
      <c r="T118" s="2"/>
      <c r="U118" s="2"/>
      <c r="V118" s="2"/>
      <c r="W118" s="2"/>
      <c r="X118" s="2"/>
      <c r="Y118" s="2"/>
    </row>
    <row r="119" spans="2:2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P119" s="2"/>
      <c r="Q119" s="2"/>
      <c r="T119" s="2"/>
      <c r="U119" s="2"/>
      <c r="V119" s="2"/>
      <c r="W119" s="2"/>
      <c r="X119" s="2"/>
      <c r="Y119" s="2"/>
    </row>
    <row r="120" spans="2:2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P120" s="2"/>
      <c r="Q120" s="2"/>
      <c r="T120" s="2"/>
      <c r="U120" s="2"/>
      <c r="V120" s="2"/>
      <c r="W120" s="2"/>
      <c r="X120" s="2"/>
      <c r="Y120" s="2"/>
    </row>
    <row r="121" spans="2:2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P121" s="2"/>
      <c r="Q121" s="2"/>
      <c r="T121" s="2"/>
      <c r="U121" s="2"/>
      <c r="V121" s="2"/>
      <c r="W121" s="2"/>
      <c r="X121" s="2"/>
      <c r="Y121" s="2"/>
    </row>
    <row r="122" spans="2:2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P122" s="2"/>
      <c r="Q122" s="2"/>
      <c r="T122" s="2"/>
      <c r="U122" s="2"/>
      <c r="V122" s="2"/>
      <c r="W122" s="2"/>
      <c r="X122" s="2"/>
      <c r="Y122" s="2"/>
    </row>
    <row r="123" spans="2:2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P123" s="2"/>
      <c r="Q123" s="2"/>
      <c r="T123" s="2"/>
      <c r="U123" s="2"/>
      <c r="V123" s="2"/>
      <c r="W123" s="2"/>
      <c r="X123" s="2"/>
      <c r="Y123" s="2"/>
    </row>
    <row r="124" spans="2:2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P124" s="2"/>
      <c r="Q124" s="2"/>
      <c r="T124" s="2"/>
      <c r="U124" s="2"/>
      <c r="V124" s="2"/>
      <c r="W124" s="2"/>
      <c r="X124" s="2"/>
      <c r="Y124" s="2"/>
    </row>
    <row r="125" spans="2:2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P125" s="2"/>
      <c r="Q125" s="2"/>
      <c r="T125" s="2"/>
      <c r="U125" s="2"/>
      <c r="V125" s="2"/>
      <c r="W125" s="2"/>
      <c r="X125" s="2"/>
      <c r="Y125" s="2"/>
    </row>
    <row r="126" spans="2:2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P126" s="2"/>
      <c r="Q126" s="2"/>
      <c r="T126" s="2"/>
      <c r="U126" s="2"/>
      <c r="V126" s="2"/>
      <c r="W126" s="2"/>
      <c r="X126" s="2"/>
      <c r="Y126" s="2"/>
    </row>
    <row r="127" spans="2:2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P127" s="2"/>
      <c r="Q127" s="2"/>
      <c r="T127" s="2"/>
      <c r="U127" s="2"/>
      <c r="V127" s="2"/>
      <c r="W127" s="2"/>
      <c r="X127" s="2"/>
      <c r="Y127" s="2"/>
    </row>
    <row r="128" spans="2:2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P128" s="2"/>
      <c r="Q128" s="2"/>
      <c r="T128" s="2"/>
      <c r="U128" s="2"/>
      <c r="V128" s="2"/>
      <c r="W128" s="2"/>
      <c r="X128" s="2"/>
      <c r="Y128" s="2"/>
    </row>
    <row r="129" spans="2:2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P129" s="2"/>
      <c r="Q129" s="2"/>
      <c r="T129" s="2"/>
      <c r="U129" s="2"/>
      <c r="V129" s="2"/>
      <c r="W129" s="2"/>
      <c r="X129" s="2"/>
      <c r="Y129" s="2"/>
    </row>
    <row r="130" spans="2:2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P130" s="2"/>
      <c r="Q130" s="2"/>
      <c r="T130" s="2"/>
      <c r="U130" s="2"/>
      <c r="V130" s="2"/>
      <c r="W130" s="2"/>
      <c r="X130" s="2"/>
      <c r="Y130" s="2"/>
    </row>
    <row r="131" spans="2:2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P131" s="2"/>
      <c r="Q131" s="2"/>
      <c r="T131" s="2"/>
      <c r="U131" s="2"/>
      <c r="V131" s="2"/>
      <c r="W131" s="2"/>
      <c r="X131" s="2"/>
      <c r="Y131" s="2"/>
    </row>
    <row r="132" spans="2:2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P132" s="2"/>
      <c r="Q132" s="2"/>
      <c r="T132" s="2"/>
      <c r="U132" s="2"/>
      <c r="V132" s="2"/>
      <c r="W132" s="2"/>
      <c r="X132" s="2"/>
      <c r="Y132" s="2"/>
    </row>
    <row r="133" spans="2:2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P133" s="2"/>
      <c r="Q133" s="2"/>
      <c r="T133" s="2"/>
      <c r="U133" s="2"/>
      <c r="V133" s="2"/>
      <c r="W133" s="2"/>
      <c r="X133" s="2"/>
      <c r="Y133" s="2"/>
    </row>
    <row r="134" spans="2:2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P134" s="2"/>
      <c r="Q134" s="2"/>
      <c r="T134" s="2"/>
      <c r="U134" s="2"/>
      <c r="V134" s="2"/>
      <c r="W134" s="2"/>
      <c r="X134" s="2"/>
      <c r="Y134" s="2"/>
    </row>
    <row r="135" spans="2:2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P135" s="2"/>
      <c r="Q135" s="2"/>
      <c r="T135" s="2"/>
      <c r="U135" s="2"/>
      <c r="V135" s="2"/>
      <c r="W135" s="2"/>
      <c r="X135" s="2"/>
      <c r="Y135" s="2"/>
    </row>
    <row r="136" spans="2:2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P136" s="2"/>
      <c r="Q136" s="2"/>
      <c r="T136" s="2"/>
      <c r="U136" s="2"/>
      <c r="V136" s="2"/>
      <c r="W136" s="2"/>
      <c r="X136" s="2"/>
      <c r="Y136" s="2"/>
    </row>
    <row r="137" spans="2:2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P137" s="2"/>
      <c r="Q137" s="2"/>
      <c r="T137" s="2"/>
      <c r="U137" s="2"/>
      <c r="V137" s="2"/>
      <c r="W137" s="2"/>
      <c r="X137" s="2"/>
      <c r="Y137" s="2"/>
    </row>
    <row r="138" spans="2:2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P138" s="2"/>
      <c r="Q138" s="2"/>
      <c r="T138" s="2"/>
      <c r="U138" s="2"/>
      <c r="V138" s="2"/>
      <c r="W138" s="2"/>
      <c r="X138" s="2"/>
      <c r="Y138" s="2"/>
    </row>
    <row r="139" spans="2:2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P139" s="2"/>
      <c r="Q139" s="2"/>
      <c r="T139" s="2"/>
      <c r="U139" s="2"/>
      <c r="V139" s="2"/>
      <c r="W139" s="2"/>
      <c r="X139" s="2"/>
      <c r="Y139" s="2"/>
    </row>
    <row r="140" spans="2:2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P140" s="2"/>
      <c r="Q140" s="2"/>
      <c r="T140" s="2"/>
      <c r="U140" s="2"/>
      <c r="V140" s="2"/>
      <c r="W140" s="2"/>
      <c r="X140" s="2"/>
      <c r="Y140" s="2"/>
    </row>
    <row r="141" spans="2:2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P141" s="2"/>
      <c r="Q141" s="2"/>
      <c r="T141" s="2"/>
      <c r="U141" s="2"/>
      <c r="V141" s="2"/>
      <c r="W141" s="2"/>
      <c r="X141" s="2"/>
      <c r="Y141" s="2"/>
    </row>
    <row r="142" spans="2:2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P142" s="2"/>
      <c r="Q142" s="2"/>
      <c r="T142" s="2"/>
      <c r="U142" s="2"/>
      <c r="V142" s="2"/>
      <c r="W142" s="2"/>
      <c r="X142" s="2"/>
      <c r="Y142" s="2"/>
    </row>
    <row r="143" spans="2:2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P143" s="2"/>
      <c r="Q143" s="2"/>
      <c r="T143" s="2"/>
      <c r="U143" s="2"/>
      <c r="V143" s="2"/>
      <c r="W143" s="2"/>
      <c r="X143" s="2"/>
      <c r="Y143" s="2"/>
    </row>
    <row r="144" spans="2:2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P144" s="2"/>
      <c r="Q144" s="2"/>
      <c r="T144" s="2"/>
      <c r="U144" s="2"/>
      <c r="V144" s="2"/>
      <c r="W144" s="2"/>
      <c r="X144" s="2"/>
      <c r="Y144" s="2"/>
    </row>
    <row r="145" spans="2:2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P145" s="2"/>
      <c r="Q145" s="2"/>
      <c r="T145" s="2"/>
      <c r="U145" s="2"/>
      <c r="V145" s="2"/>
      <c r="W145" s="2"/>
      <c r="X145" s="2"/>
      <c r="Y145" s="2"/>
    </row>
    <row r="146" spans="2:2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P146" s="2"/>
      <c r="Q146" s="2"/>
      <c r="T146" s="2"/>
      <c r="U146" s="2"/>
      <c r="V146" s="2"/>
      <c r="W146" s="2"/>
      <c r="X146" s="2"/>
      <c r="Y146" s="2"/>
    </row>
    <row r="147" spans="2:2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P147" s="2"/>
      <c r="Q147" s="2"/>
      <c r="T147" s="2"/>
      <c r="U147" s="2"/>
      <c r="V147" s="2"/>
      <c r="W147" s="2"/>
      <c r="X147" s="2"/>
      <c r="Y147" s="2"/>
    </row>
    <row r="148" spans="2:25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P148" s="2"/>
      <c r="Q148" s="2"/>
      <c r="T148" s="2"/>
      <c r="U148" s="2"/>
      <c r="V148" s="2"/>
      <c r="W148" s="2"/>
      <c r="X148" s="2"/>
      <c r="Y148" s="2"/>
    </row>
    <row r="149" spans="2:25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P149" s="2"/>
      <c r="Q149" s="2"/>
      <c r="T149" s="2"/>
      <c r="U149" s="2"/>
      <c r="V149" s="2"/>
      <c r="W149" s="2"/>
      <c r="X149" s="2"/>
      <c r="Y149" s="2"/>
    </row>
    <row r="150" spans="2:25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P150" s="2"/>
      <c r="Q150" s="2"/>
      <c r="T150" s="2"/>
      <c r="U150" s="2"/>
      <c r="V150" s="2"/>
      <c r="W150" s="2"/>
      <c r="X150" s="2"/>
      <c r="Y150" s="2"/>
    </row>
    <row r="151" spans="2:25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P151" s="2"/>
      <c r="Q151" s="2"/>
      <c r="T151" s="2"/>
      <c r="U151" s="2"/>
      <c r="V151" s="2"/>
      <c r="W151" s="2"/>
      <c r="X151" s="2"/>
      <c r="Y151" s="2"/>
    </row>
    <row r="152" spans="2:25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P152" s="2"/>
      <c r="Q152" s="2"/>
      <c r="T152" s="2"/>
      <c r="U152" s="2"/>
      <c r="V152" s="2"/>
      <c r="W152" s="2"/>
      <c r="X152" s="2"/>
      <c r="Y152" s="2"/>
    </row>
    <row r="153" spans="2:25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P153" s="2"/>
      <c r="Q153" s="2"/>
      <c r="T153" s="2"/>
      <c r="U153" s="2"/>
      <c r="V153" s="2"/>
      <c r="W153" s="2"/>
      <c r="X153" s="2"/>
      <c r="Y153" s="2"/>
    </row>
    <row r="154" spans="2:25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P154" s="2"/>
      <c r="Q154" s="2"/>
      <c r="T154" s="2"/>
      <c r="U154" s="2"/>
      <c r="V154" s="2"/>
      <c r="W154" s="2"/>
      <c r="X154" s="2"/>
      <c r="Y154" s="2"/>
    </row>
    <row r="155" spans="2:2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P155" s="2"/>
      <c r="Q155" s="2"/>
      <c r="T155" s="2"/>
      <c r="U155" s="2"/>
      <c r="V155" s="2"/>
      <c r="W155" s="2"/>
      <c r="X155" s="2"/>
      <c r="Y155" s="2"/>
    </row>
    <row r="156" spans="2:2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P156" s="2"/>
      <c r="Q156" s="2"/>
      <c r="T156" s="2"/>
      <c r="U156" s="2"/>
      <c r="V156" s="2"/>
      <c r="W156" s="2"/>
      <c r="X156" s="2"/>
      <c r="Y156" s="2"/>
    </row>
    <row r="157" spans="2:25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P157" s="2"/>
      <c r="Q157" s="2"/>
      <c r="T157" s="2"/>
      <c r="U157" s="2"/>
      <c r="V157" s="2"/>
      <c r="W157" s="2"/>
      <c r="X157" s="2"/>
      <c r="Y157" s="2"/>
    </row>
    <row r="158" spans="2:25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P158" s="2"/>
      <c r="Q158" s="2"/>
      <c r="T158" s="2"/>
      <c r="U158" s="2"/>
      <c r="V158" s="2"/>
      <c r="W158" s="2"/>
      <c r="X158" s="2"/>
      <c r="Y158" s="2"/>
    </row>
    <row r="159" spans="2:25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P159" s="2"/>
      <c r="Q159" s="2"/>
      <c r="T159" s="2"/>
      <c r="U159" s="2"/>
      <c r="V159" s="2"/>
      <c r="W159" s="2"/>
      <c r="X159" s="2"/>
      <c r="Y159" s="2"/>
    </row>
    <row r="160" spans="2:25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P160" s="2"/>
      <c r="Q160" s="2"/>
      <c r="T160" s="2"/>
      <c r="U160" s="2"/>
      <c r="V160" s="2"/>
      <c r="W160" s="2"/>
      <c r="X160" s="2"/>
      <c r="Y160" s="2"/>
    </row>
    <row r="161" spans="2:25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P161" s="2"/>
      <c r="Q161" s="2"/>
      <c r="T161" s="2"/>
      <c r="U161" s="2"/>
      <c r="V161" s="2"/>
      <c r="W161" s="2"/>
      <c r="X161" s="2"/>
      <c r="Y161" s="2"/>
    </row>
    <row r="162" spans="2:25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P162" s="2"/>
      <c r="Q162" s="2"/>
      <c r="T162" s="2"/>
      <c r="U162" s="2"/>
      <c r="V162" s="2"/>
      <c r="W162" s="2"/>
      <c r="X162" s="2"/>
      <c r="Y162" s="2"/>
    </row>
    <row r="163" spans="2:25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P163" s="2"/>
      <c r="Q163" s="2"/>
      <c r="T163" s="2"/>
      <c r="U163" s="2"/>
      <c r="V163" s="2"/>
      <c r="W163" s="2"/>
      <c r="X163" s="2"/>
      <c r="Y163" s="2"/>
    </row>
    <row r="164" spans="2:25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P164" s="2"/>
      <c r="Q164" s="2"/>
      <c r="T164" s="2"/>
      <c r="U164" s="2"/>
      <c r="V164" s="2"/>
      <c r="W164" s="2"/>
      <c r="X164" s="2"/>
      <c r="Y164" s="2"/>
    </row>
    <row r="165" spans="2:25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P165" s="2"/>
      <c r="Q165" s="2"/>
      <c r="T165" s="2"/>
      <c r="U165" s="2"/>
      <c r="V165" s="2"/>
      <c r="W165" s="2"/>
      <c r="X165" s="2"/>
      <c r="Y165" s="2"/>
    </row>
    <row r="166" spans="2:25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P166" s="2"/>
      <c r="Q166" s="2"/>
      <c r="T166" s="2"/>
      <c r="U166" s="2"/>
      <c r="V166" s="2"/>
      <c r="W166" s="2"/>
      <c r="X166" s="2"/>
      <c r="Y166" s="2"/>
    </row>
    <row r="167" spans="2:25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P167" s="2"/>
      <c r="Q167" s="2"/>
      <c r="T167" s="2"/>
      <c r="U167" s="2"/>
      <c r="V167" s="2"/>
      <c r="W167" s="2"/>
      <c r="X167" s="2"/>
      <c r="Y167" s="2"/>
    </row>
    <row r="168" spans="2:25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P168" s="2"/>
      <c r="Q168" s="2"/>
      <c r="T168" s="2"/>
      <c r="U168" s="2"/>
      <c r="V168" s="2"/>
      <c r="W168" s="2"/>
      <c r="X168" s="2"/>
      <c r="Y168" s="2"/>
    </row>
    <row r="169" spans="2:25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P169" s="2"/>
      <c r="Q169" s="2"/>
      <c r="T169" s="2"/>
      <c r="U169" s="2"/>
      <c r="V169" s="2"/>
      <c r="W169" s="2"/>
      <c r="X169" s="2"/>
      <c r="Y169" s="2"/>
    </row>
    <row r="170" spans="2:25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P170" s="2"/>
      <c r="Q170" s="2"/>
      <c r="T170" s="2"/>
      <c r="U170" s="2"/>
      <c r="V170" s="2"/>
      <c r="W170" s="2"/>
      <c r="X170" s="2"/>
      <c r="Y170" s="2"/>
    </row>
    <row r="171" spans="2:25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P171" s="2"/>
      <c r="Q171" s="2"/>
      <c r="T171" s="2"/>
      <c r="U171" s="2"/>
      <c r="V171" s="2"/>
      <c r="W171" s="2"/>
      <c r="X171" s="2"/>
      <c r="Y171" s="2"/>
    </row>
    <row r="172" spans="2:25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P172" s="2"/>
      <c r="Q172" s="2"/>
      <c r="T172" s="2"/>
      <c r="U172" s="2"/>
      <c r="V172" s="2"/>
      <c r="W172" s="2"/>
      <c r="X172" s="2"/>
      <c r="Y172" s="2"/>
    </row>
    <row r="173" spans="2:25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P173" s="2"/>
      <c r="Q173" s="2"/>
      <c r="T173" s="2"/>
      <c r="U173" s="2"/>
      <c r="V173" s="2"/>
      <c r="W173" s="2"/>
      <c r="X173" s="2"/>
      <c r="Y173" s="2"/>
    </row>
    <row r="174" spans="2:25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P174" s="2"/>
      <c r="Q174" s="2"/>
      <c r="T174" s="2"/>
      <c r="U174" s="2"/>
      <c r="V174" s="2"/>
      <c r="W174" s="2"/>
      <c r="X174" s="2"/>
      <c r="Y174" s="2"/>
    </row>
    <row r="175" spans="2:25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P175" s="2"/>
      <c r="Q175" s="2"/>
      <c r="T175" s="2"/>
      <c r="U175" s="2"/>
      <c r="V175" s="2"/>
      <c r="W175" s="2"/>
      <c r="X175" s="2"/>
      <c r="Y175" s="2"/>
    </row>
    <row r="176" spans="2:25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P176" s="2"/>
      <c r="Q176" s="2"/>
      <c r="T176" s="2"/>
      <c r="U176" s="2"/>
      <c r="V176" s="2"/>
      <c r="W176" s="2"/>
      <c r="X176" s="2"/>
      <c r="Y176" s="2"/>
    </row>
    <row r="177" spans="2:25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P177" s="2"/>
      <c r="Q177" s="2"/>
      <c r="T177" s="2"/>
      <c r="U177" s="2"/>
      <c r="V177" s="2"/>
      <c r="W177" s="2"/>
      <c r="X177" s="2"/>
      <c r="Y177" s="2"/>
    </row>
    <row r="178" spans="2:25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P178" s="2"/>
      <c r="Q178" s="2"/>
      <c r="T178" s="2"/>
      <c r="U178" s="2"/>
      <c r="V178" s="2"/>
      <c r="W178" s="2"/>
      <c r="X178" s="2"/>
      <c r="Y178" s="2"/>
    </row>
    <row r="179" spans="2:25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P179" s="2"/>
      <c r="Q179" s="2"/>
      <c r="T179" s="2"/>
      <c r="U179" s="2"/>
      <c r="V179" s="2"/>
      <c r="W179" s="2"/>
      <c r="X179" s="2"/>
      <c r="Y179" s="2"/>
    </row>
    <row r="180" spans="2:25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P180" s="2"/>
      <c r="Q180" s="2"/>
      <c r="T180" s="2"/>
      <c r="U180" s="2"/>
      <c r="V180" s="2"/>
      <c r="W180" s="2"/>
      <c r="X180" s="2"/>
      <c r="Y180" s="2"/>
    </row>
    <row r="181" spans="2:25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P181" s="2"/>
      <c r="Q181" s="2"/>
      <c r="T181" s="2"/>
      <c r="U181" s="2"/>
      <c r="V181" s="2"/>
      <c r="W181" s="2"/>
      <c r="X181" s="2"/>
      <c r="Y181" s="2"/>
    </row>
    <row r="182" spans="2:25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P182" s="2"/>
      <c r="Q182" s="2"/>
      <c r="T182" s="2"/>
      <c r="U182" s="2"/>
      <c r="V182" s="2"/>
      <c r="W182" s="2"/>
      <c r="X182" s="2"/>
      <c r="Y182" s="2"/>
    </row>
    <row r="183" spans="2:25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P183" s="2"/>
      <c r="Q183" s="2"/>
      <c r="T183" s="2"/>
      <c r="U183" s="2"/>
      <c r="V183" s="2"/>
      <c r="W183" s="2"/>
      <c r="X183" s="2"/>
      <c r="Y183" s="2"/>
    </row>
    <row r="184" spans="2:25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P184" s="2"/>
      <c r="Q184" s="2"/>
      <c r="T184" s="2"/>
      <c r="U184" s="2"/>
      <c r="V184" s="2"/>
      <c r="W184" s="2"/>
      <c r="X184" s="2"/>
      <c r="Y184" s="2"/>
    </row>
    <row r="185" spans="2:25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P185" s="2"/>
      <c r="Q185" s="2"/>
      <c r="T185" s="2"/>
      <c r="U185" s="2"/>
      <c r="V185" s="2"/>
      <c r="W185" s="2"/>
      <c r="X185" s="2"/>
      <c r="Y185" s="2"/>
    </row>
    <row r="186" spans="2:25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P186" s="2"/>
      <c r="Q186" s="2"/>
      <c r="T186" s="2"/>
      <c r="U186" s="2"/>
      <c r="V186" s="2"/>
      <c r="W186" s="2"/>
      <c r="X186" s="2"/>
      <c r="Y186" s="2"/>
    </row>
    <row r="187" spans="2:25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P187" s="2"/>
      <c r="Q187" s="2"/>
      <c r="T187" s="2"/>
      <c r="U187" s="2"/>
      <c r="V187" s="2"/>
      <c r="W187" s="2"/>
      <c r="X187" s="2"/>
      <c r="Y187" s="2"/>
    </row>
    <row r="188" spans="2:25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P188" s="2"/>
      <c r="Q188" s="2"/>
      <c r="T188" s="2"/>
      <c r="U188" s="2"/>
      <c r="V188" s="2"/>
      <c r="W188" s="2"/>
      <c r="X188" s="2"/>
      <c r="Y188" s="2"/>
    </row>
    <row r="189" spans="2:25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P189" s="2"/>
      <c r="Q189" s="2"/>
      <c r="T189" s="2"/>
      <c r="U189" s="2"/>
      <c r="V189" s="2"/>
      <c r="W189" s="2"/>
      <c r="X189" s="2"/>
      <c r="Y189" s="2"/>
    </row>
    <row r="190" spans="2:25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P190" s="2"/>
      <c r="Q190" s="2"/>
      <c r="T190" s="2"/>
      <c r="U190" s="2"/>
      <c r="V190" s="2"/>
      <c r="W190" s="2"/>
      <c r="X190" s="2"/>
      <c r="Y190" s="2"/>
    </row>
    <row r="191" spans="2:25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P191" s="2"/>
      <c r="Q191" s="2"/>
      <c r="T191" s="2"/>
      <c r="U191" s="2"/>
      <c r="V191" s="2"/>
      <c r="W191" s="2"/>
      <c r="X191" s="2"/>
      <c r="Y191" s="2"/>
    </row>
    <row r="192" spans="2:25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P192" s="2"/>
      <c r="Q192" s="2"/>
      <c r="T192" s="2"/>
      <c r="U192" s="2"/>
      <c r="V192" s="2"/>
      <c r="W192" s="2"/>
      <c r="X192" s="2"/>
      <c r="Y192" s="2"/>
    </row>
    <row r="193" spans="2:25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P193" s="2"/>
      <c r="Q193" s="2"/>
      <c r="T193" s="2"/>
      <c r="U193" s="2"/>
      <c r="V193" s="2"/>
      <c r="W193" s="2"/>
      <c r="X193" s="2"/>
      <c r="Y193" s="2"/>
    </row>
    <row r="194" spans="2:25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P194" s="2"/>
      <c r="Q194" s="2"/>
      <c r="T194" s="2"/>
      <c r="U194" s="2"/>
      <c r="V194" s="2"/>
      <c r="W194" s="2"/>
      <c r="X194" s="2"/>
      <c r="Y194" s="2"/>
    </row>
    <row r="195" spans="2:25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P195" s="2"/>
      <c r="Q195" s="2"/>
      <c r="T195" s="2"/>
      <c r="U195" s="2"/>
      <c r="V195" s="2"/>
      <c r="W195" s="2"/>
      <c r="X195" s="2"/>
      <c r="Y195" s="2"/>
    </row>
    <row r="196" spans="2:25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P196" s="2"/>
      <c r="Q196" s="2"/>
      <c r="T196" s="2"/>
      <c r="U196" s="2"/>
      <c r="V196" s="2"/>
      <c r="W196" s="2"/>
      <c r="X196" s="2"/>
      <c r="Y196" s="2"/>
    </row>
    <row r="197" spans="2:25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P197" s="2"/>
      <c r="Q197" s="2"/>
      <c r="T197" s="2"/>
      <c r="U197" s="2"/>
      <c r="V197" s="2"/>
      <c r="W197" s="2"/>
      <c r="X197" s="2"/>
      <c r="Y197" s="2"/>
    </row>
    <row r="198" spans="2:25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P198" s="2"/>
      <c r="Q198" s="2"/>
      <c r="T198" s="2"/>
      <c r="U198" s="2"/>
      <c r="V198" s="2"/>
      <c r="W198" s="2"/>
      <c r="X198" s="2"/>
      <c r="Y198" s="2"/>
    </row>
    <row r="199" spans="2:25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P199" s="2"/>
      <c r="Q199" s="2"/>
      <c r="T199" s="2"/>
      <c r="U199" s="2"/>
      <c r="V199" s="2"/>
      <c r="W199" s="2"/>
      <c r="X199" s="2"/>
      <c r="Y199" s="2"/>
    </row>
    <row r="200" spans="2:25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P200" s="2"/>
      <c r="Q200" s="2"/>
      <c r="T200" s="2"/>
      <c r="U200" s="2"/>
      <c r="V200" s="2"/>
      <c r="W200" s="2"/>
      <c r="X200" s="2"/>
      <c r="Y200" s="2"/>
    </row>
    <row r="201" spans="2:25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P201" s="2"/>
      <c r="Q201" s="2"/>
      <c r="T201" s="2"/>
      <c r="U201" s="2"/>
      <c r="V201" s="2"/>
      <c r="W201" s="2"/>
      <c r="X201" s="2"/>
      <c r="Y201" s="2"/>
    </row>
    <row r="202" spans="2:25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P202" s="2"/>
      <c r="Q202" s="2"/>
      <c r="T202" s="2"/>
      <c r="U202" s="2"/>
      <c r="V202" s="2"/>
      <c r="W202" s="2"/>
      <c r="X202" s="2"/>
      <c r="Y202" s="2"/>
    </row>
    <row r="203" spans="2:25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P203" s="2"/>
      <c r="Q203" s="2"/>
      <c r="T203" s="2"/>
      <c r="U203" s="2"/>
      <c r="V203" s="2"/>
      <c r="W203" s="2"/>
      <c r="X203" s="2"/>
      <c r="Y203" s="2"/>
    </row>
    <row r="204" spans="2:25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P204" s="2"/>
      <c r="Q204" s="2"/>
      <c r="T204" s="2"/>
      <c r="U204" s="2"/>
      <c r="V204" s="2"/>
      <c r="W204" s="2"/>
      <c r="X204" s="2"/>
      <c r="Y204" s="2"/>
    </row>
    <row r="205" spans="2:25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P205" s="2"/>
      <c r="Q205" s="2"/>
      <c r="T205" s="2"/>
      <c r="U205" s="2"/>
      <c r="V205" s="2"/>
      <c r="W205" s="2"/>
      <c r="X205" s="2"/>
      <c r="Y205" s="2"/>
    </row>
    <row r="206" spans="2:25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P206" s="2"/>
      <c r="Q206" s="2"/>
      <c r="T206" s="2"/>
      <c r="U206" s="2"/>
      <c r="V206" s="2"/>
      <c r="W206" s="2"/>
      <c r="X206" s="2"/>
      <c r="Y206" s="2"/>
    </row>
    <row r="207" spans="2:25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P207" s="2"/>
      <c r="Q207" s="2"/>
      <c r="T207" s="2"/>
      <c r="U207" s="2"/>
      <c r="V207" s="2"/>
      <c r="W207" s="2"/>
      <c r="X207" s="2"/>
      <c r="Y207" s="2"/>
    </row>
    <row r="208" spans="2:25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P208" s="2"/>
      <c r="Q208" s="2"/>
      <c r="T208" s="2"/>
      <c r="U208" s="2"/>
      <c r="V208" s="2"/>
      <c r="W208" s="2"/>
      <c r="X208" s="2"/>
      <c r="Y208" s="2"/>
    </row>
    <row r="209" spans="2:25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P209" s="2"/>
      <c r="Q209" s="2"/>
      <c r="T209" s="2"/>
      <c r="U209" s="2"/>
      <c r="V209" s="2"/>
      <c r="W209" s="2"/>
      <c r="X209" s="2"/>
      <c r="Y209" s="2"/>
    </row>
    <row r="210" spans="2:25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P210" s="2"/>
      <c r="Q210" s="2"/>
      <c r="T210" s="2"/>
      <c r="U210" s="2"/>
      <c r="V210" s="2"/>
      <c r="W210" s="2"/>
      <c r="X210" s="2"/>
      <c r="Y210" s="2"/>
    </row>
    <row r="211" spans="2:25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P211" s="2"/>
      <c r="Q211" s="2"/>
      <c r="T211" s="2"/>
      <c r="U211" s="2"/>
      <c r="V211" s="2"/>
      <c r="W211" s="2"/>
      <c r="X211" s="2"/>
      <c r="Y211" s="2"/>
    </row>
    <row r="212" spans="2:25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P212" s="2"/>
      <c r="Q212" s="2"/>
      <c r="T212" s="2"/>
      <c r="U212" s="2"/>
      <c r="V212" s="2"/>
      <c r="W212" s="2"/>
      <c r="X212" s="2"/>
      <c r="Y212" s="2"/>
    </row>
    <row r="213" spans="2:25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P213" s="2"/>
      <c r="Q213" s="2"/>
      <c r="T213" s="2"/>
      <c r="U213" s="2"/>
      <c r="V213" s="2"/>
      <c r="W213" s="2"/>
      <c r="X213" s="2"/>
      <c r="Y213" s="2"/>
    </row>
    <row r="214" spans="2:25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P214" s="2"/>
      <c r="Q214" s="2"/>
      <c r="T214" s="2"/>
      <c r="U214" s="2"/>
      <c r="V214" s="2"/>
      <c r="W214" s="2"/>
      <c r="X214" s="2"/>
      <c r="Y214" s="2"/>
    </row>
    <row r="215" spans="2:25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P215" s="2"/>
      <c r="Q215" s="2"/>
      <c r="T215" s="2"/>
      <c r="U215" s="2"/>
      <c r="V215" s="2"/>
      <c r="W215" s="2"/>
      <c r="X215" s="2"/>
      <c r="Y215" s="2"/>
    </row>
    <row r="216" spans="2:25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P216" s="2"/>
      <c r="Q216" s="2"/>
      <c r="T216" s="2"/>
      <c r="U216" s="2"/>
      <c r="V216" s="2"/>
      <c r="W216" s="2"/>
      <c r="X216" s="2"/>
      <c r="Y216" s="2"/>
    </row>
    <row r="217" spans="2:25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P217" s="2"/>
      <c r="Q217" s="2"/>
      <c r="T217" s="2"/>
      <c r="U217" s="2"/>
      <c r="V217" s="2"/>
      <c r="W217" s="2"/>
      <c r="X217" s="2"/>
      <c r="Y217" s="2"/>
    </row>
    <row r="218" spans="2:25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P218" s="2"/>
      <c r="Q218" s="2"/>
      <c r="T218" s="2"/>
      <c r="U218" s="2"/>
      <c r="V218" s="2"/>
      <c r="W218" s="2"/>
      <c r="X218" s="2"/>
      <c r="Y218" s="2"/>
    </row>
    <row r="219" spans="2:25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P219" s="2"/>
      <c r="Q219" s="2"/>
      <c r="T219" s="2"/>
      <c r="U219" s="2"/>
      <c r="V219" s="2"/>
      <c r="W219" s="2"/>
      <c r="X219" s="2"/>
      <c r="Y219" s="2"/>
    </row>
    <row r="220" spans="2:25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P220" s="2"/>
      <c r="Q220" s="2"/>
      <c r="T220" s="2"/>
      <c r="U220" s="2"/>
      <c r="V220" s="2"/>
      <c r="W220" s="2"/>
      <c r="X220" s="2"/>
      <c r="Y220" s="2"/>
    </row>
    <row r="221" spans="2:25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P221" s="2"/>
      <c r="Q221" s="2"/>
      <c r="T221" s="2"/>
      <c r="U221" s="2"/>
      <c r="V221" s="2"/>
      <c r="W221" s="2"/>
      <c r="X221" s="2"/>
      <c r="Y221" s="2"/>
    </row>
    <row r="222" spans="2:25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P222" s="2"/>
      <c r="Q222" s="2"/>
      <c r="T222" s="2"/>
      <c r="U222" s="2"/>
      <c r="V222" s="2"/>
      <c r="W222" s="2"/>
      <c r="X222" s="2"/>
      <c r="Y222" s="2"/>
    </row>
    <row r="223" spans="2:25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P223" s="2"/>
      <c r="Q223" s="2"/>
      <c r="T223" s="2"/>
      <c r="U223" s="2"/>
      <c r="V223" s="2"/>
      <c r="W223" s="2"/>
      <c r="X223" s="2"/>
      <c r="Y223" s="2"/>
    </row>
    <row r="224" spans="2:25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P224" s="2"/>
      <c r="Q224" s="2"/>
      <c r="T224" s="2"/>
      <c r="U224" s="2"/>
      <c r="V224" s="2"/>
      <c r="W224" s="2"/>
      <c r="X224" s="2"/>
      <c r="Y224" s="2"/>
    </row>
    <row r="225" spans="2:25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P225" s="2"/>
      <c r="Q225" s="2"/>
      <c r="T225" s="2"/>
      <c r="U225" s="2"/>
      <c r="V225" s="2"/>
      <c r="W225" s="2"/>
      <c r="X225" s="2"/>
      <c r="Y225" s="2"/>
    </row>
    <row r="226" spans="2:25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P226" s="2"/>
      <c r="Q226" s="2"/>
      <c r="T226" s="2"/>
      <c r="U226" s="2"/>
      <c r="V226" s="2"/>
      <c r="W226" s="2"/>
      <c r="X226" s="2"/>
      <c r="Y226" s="2"/>
    </row>
    <row r="227" spans="2:25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P227" s="2"/>
      <c r="Q227" s="2"/>
      <c r="T227" s="2"/>
      <c r="U227" s="2"/>
      <c r="V227" s="2"/>
      <c r="W227" s="2"/>
      <c r="X227" s="2"/>
      <c r="Y227" s="2"/>
    </row>
    <row r="228" spans="2:25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P228" s="2"/>
      <c r="Q228" s="2"/>
      <c r="T228" s="2"/>
      <c r="U228" s="2"/>
      <c r="V228" s="2"/>
      <c r="W228" s="2"/>
      <c r="X228" s="2"/>
      <c r="Y228" s="2"/>
    </row>
    <row r="229" spans="2:25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P229" s="2"/>
      <c r="Q229" s="2"/>
      <c r="T229" s="2"/>
      <c r="U229" s="2"/>
      <c r="V229" s="2"/>
      <c r="W229" s="2"/>
      <c r="X229" s="2"/>
      <c r="Y229" s="2"/>
    </row>
    <row r="230" spans="2:25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P230" s="2"/>
      <c r="Q230" s="2"/>
      <c r="T230" s="2"/>
      <c r="U230" s="2"/>
      <c r="V230" s="2"/>
      <c r="W230" s="2"/>
      <c r="X230" s="2"/>
      <c r="Y230" s="2"/>
    </row>
    <row r="231" spans="2:25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P231" s="2"/>
      <c r="Q231" s="2"/>
      <c r="T231" s="2"/>
      <c r="U231" s="2"/>
      <c r="V231" s="2"/>
      <c r="W231" s="2"/>
      <c r="X231" s="2"/>
      <c r="Y231" s="2"/>
    </row>
    <row r="232" spans="2:25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P232" s="2"/>
      <c r="Q232" s="2"/>
      <c r="T232" s="2"/>
      <c r="U232" s="2"/>
      <c r="V232" s="2"/>
      <c r="W232" s="2"/>
      <c r="X232" s="2"/>
      <c r="Y232" s="2"/>
    </row>
    <row r="233" spans="2:25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P233" s="2"/>
      <c r="Q233" s="2"/>
      <c r="T233" s="2"/>
      <c r="U233" s="2"/>
      <c r="V233" s="2"/>
      <c r="W233" s="2"/>
      <c r="X233" s="2"/>
      <c r="Y233" s="2"/>
    </row>
    <row r="234" spans="2:25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P234" s="2"/>
      <c r="Q234" s="2"/>
      <c r="T234" s="2"/>
      <c r="U234" s="2"/>
      <c r="V234" s="2"/>
      <c r="W234" s="2"/>
      <c r="X234" s="2"/>
      <c r="Y234" s="2"/>
    </row>
    <row r="235" spans="2:25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P235" s="2"/>
      <c r="Q235" s="2"/>
      <c r="T235" s="2"/>
      <c r="U235" s="2"/>
      <c r="V235" s="2"/>
      <c r="W235" s="2"/>
      <c r="X235" s="2"/>
      <c r="Y235" s="2"/>
    </row>
    <row r="236" spans="2:25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P236" s="2"/>
      <c r="Q236" s="2"/>
      <c r="T236" s="2"/>
      <c r="U236" s="2"/>
      <c r="V236" s="2"/>
      <c r="W236" s="2"/>
      <c r="X236" s="2"/>
      <c r="Y236" s="2"/>
    </row>
    <row r="237" spans="2:25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P237" s="2"/>
      <c r="Q237" s="2"/>
      <c r="T237" s="2"/>
      <c r="U237" s="2"/>
      <c r="V237" s="2"/>
      <c r="W237" s="2"/>
      <c r="X237" s="2"/>
      <c r="Y237" s="2"/>
    </row>
    <row r="238" spans="2:25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P238" s="2"/>
      <c r="Q238" s="2"/>
      <c r="T238" s="2"/>
      <c r="U238" s="2"/>
      <c r="V238" s="2"/>
      <c r="W238" s="2"/>
      <c r="X238" s="2"/>
      <c r="Y238" s="2"/>
    </row>
    <row r="239" spans="2:25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P239" s="2"/>
      <c r="Q239" s="2"/>
      <c r="T239" s="2"/>
      <c r="U239" s="2"/>
      <c r="V239" s="2"/>
      <c r="W239" s="2"/>
      <c r="X239" s="2"/>
      <c r="Y239" s="2"/>
    </row>
    <row r="240" spans="2:25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P240" s="2"/>
      <c r="Q240" s="2"/>
      <c r="T240" s="2"/>
      <c r="U240" s="2"/>
      <c r="V240" s="2"/>
      <c r="W240" s="2"/>
      <c r="X240" s="2"/>
      <c r="Y240" s="2"/>
    </row>
    <row r="241" spans="2:25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P241" s="2"/>
      <c r="Q241" s="2"/>
      <c r="T241" s="2"/>
      <c r="U241" s="2"/>
      <c r="V241" s="2"/>
      <c r="W241" s="2"/>
      <c r="X241" s="2"/>
      <c r="Y241" s="2"/>
    </row>
    <row r="242" spans="2:25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P242" s="2"/>
      <c r="Q242" s="2"/>
      <c r="T242" s="2"/>
      <c r="U242" s="2"/>
      <c r="V242" s="2"/>
      <c r="W242" s="2"/>
      <c r="X242" s="2"/>
      <c r="Y242" s="2"/>
    </row>
    <row r="243" spans="2:25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P243" s="2"/>
      <c r="Q243" s="2"/>
      <c r="T243" s="2"/>
      <c r="U243" s="2"/>
      <c r="V243" s="2"/>
      <c r="W243" s="2"/>
      <c r="X243" s="2"/>
      <c r="Y243" s="2"/>
    </row>
    <row r="244" spans="2:25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P244" s="2"/>
      <c r="Q244" s="2"/>
      <c r="T244" s="2"/>
      <c r="U244" s="2"/>
      <c r="V244" s="2"/>
      <c r="W244" s="2"/>
      <c r="X244" s="2"/>
      <c r="Y244" s="2"/>
    </row>
    <row r="245" spans="2:25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P245" s="2"/>
      <c r="Q245" s="2"/>
      <c r="T245" s="2"/>
      <c r="U245" s="2"/>
      <c r="V245" s="2"/>
      <c r="W245" s="2"/>
      <c r="X245" s="2"/>
      <c r="Y245" s="2"/>
    </row>
    <row r="246" spans="2:25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P246" s="2"/>
      <c r="Q246" s="2"/>
      <c r="T246" s="2"/>
      <c r="U246" s="2"/>
      <c r="V246" s="2"/>
      <c r="W246" s="2"/>
      <c r="X246" s="2"/>
      <c r="Y246" s="2"/>
    </row>
    <row r="247" spans="2:25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P247" s="2"/>
      <c r="Q247" s="2"/>
      <c r="T247" s="2"/>
      <c r="U247" s="2"/>
      <c r="V247" s="2"/>
      <c r="W247" s="2"/>
      <c r="X247" s="2"/>
      <c r="Y247" s="2"/>
    </row>
    <row r="248" spans="2:25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P248" s="2"/>
      <c r="Q248" s="2"/>
      <c r="T248" s="2"/>
      <c r="U248" s="2"/>
      <c r="V248" s="2"/>
      <c r="W248" s="2"/>
      <c r="X248" s="2"/>
      <c r="Y248" s="2"/>
    </row>
    <row r="249" spans="2:25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P249" s="2"/>
      <c r="Q249" s="2"/>
      <c r="T249" s="2"/>
      <c r="U249" s="2"/>
      <c r="V249" s="2"/>
      <c r="W249" s="2"/>
      <c r="X249" s="2"/>
      <c r="Y249" s="2"/>
    </row>
    <row r="250" spans="2:25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P250" s="2"/>
      <c r="Q250" s="2"/>
      <c r="T250" s="2"/>
      <c r="U250" s="2"/>
      <c r="V250" s="2"/>
      <c r="W250" s="2"/>
      <c r="X250" s="2"/>
      <c r="Y250" s="2"/>
    </row>
    <row r="251" spans="2:25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P251" s="2"/>
      <c r="Q251" s="2"/>
      <c r="T251" s="2"/>
      <c r="U251" s="2"/>
      <c r="V251" s="2"/>
      <c r="W251" s="2"/>
      <c r="X251" s="2"/>
      <c r="Y251" s="2"/>
    </row>
    <row r="252" spans="2:25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P252" s="2"/>
      <c r="Q252" s="2"/>
      <c r="T252" s="2"/>
      <c r="U252" s="2"/>
      <c r="V252" s="2"/>
      <c r="W252" s="2"/>
      <c r="X252" s="2"/>
      <c r="Y252" s="2"/>
    </row>
    <row r="253" spans="2:25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P253" s="2"/>
      <c r="Q253" s="2"/>
      <c r="T253" s="2"/>
      <c r="U253" s="2"/>
      <c r="V253" s="2"/>
      <c r="W253" s="2"/>
      <c r="X253" s="2"/>
      <c r="Y253" s="2"/>
    </row>
    <row r="254" spans="2:25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P254" s="2"/>
      <c r="Q254" s="2"/>
      <c r="T254" s="2"/>
      <c r="U254" s="2"/>
      <c r="V254" s="2"/>
      <c r="W254" s="2"/>
      <c r="X254" s="2"/>
      <c r="Y254" s="2"/>
    </row>
    <row r="255" spans="2:25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P255" s="2"/>
      <c r="Q255" s="2"/>
      <c r="T255" s="2"/>
      <c r="U255" s="2"/>
      <c r="V255" s="2"/>
      <c r="W255" s="2"/>
      <c r="X255" s="2"/>
      <c r="Y255" s="2"/>
    </row>
    <row r="256" spans="2:25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P256" s="2"/>
      <c r="Q256" s="2"/>
      <c r="T256" s="2"/>
      <c r="U256" s="2"/>
      <c r="V256" s="2"/>
      <c r="W256" s="2"/>
      <c r="X256" s="2"/>
      <c r="Y256" s="2"/>
    </row>
    <row r="257" spans="2:25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P257" s="2"/>
      <c r="Q257" s="2"/>
      <c r="T257" s="2"/>
      <c r="U257" s="2"/>
      <c r="V257" s="2"/>
      <c r="W257" s="2"/>
      <c r="X257" s="2"/>
      <c r="Y257" s="2"/>
    </row>
    <row r="258" spans="2:25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P258" s="2"/>
      <c r="Q258" s="2"/>
      <c r="T258" s="2"/>
      <c r="U258" s="2"/>
      <c r="V258" s="2"/>
      <c r="W258" s="2"/>
      <c r="X258" s="2"/>
      <c r="Y258" s="2"/>
    </row>
    <row r="259" spans="2:25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P259" s="2"/>
      <c r="Q259" s="2"/>
      <c r="T259" s="2"/>
      <c r="U259" s="2"/>
      <c r="V259" s="2"/>
      <c r="W259" s="2"/>
      <c r="X259" s="2"/>
      <c r="Y259" s="2"/>
    </row>
    <row r="260" spans="2:25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P260" s="2"/>
      <c r="Q260" s="2"/>
      <c r="T260" s="2"/>
      <c r="U260" s="2"/>
      <c r="V260" s="2"/>
      <c r="W260" s="2"/>
      <c r="X260" s="2"/>
      <c r="Y260" s="2"/>
    </row>
    <row r="261" spans="2:25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P261" s="2"/>
      <c r="Q261" s="2"/>
      <c r="T261" s="2"/>
      <c r="U261" s="2"/>
      <c r="V261" s="2"/>
      <c r="W261" s="2"/>
      <c r="X261" s="2"/>
      <c r="Y261" s="2"/>
    </row>
    <row r="262" spans="2:25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P262" s="2"/>
      <c r="Q262" s="2"/>
      <c r="T262" s="2"/>
      <c r="U262" s="2"/>
      <c r="V262" s="2"/>
      <c r="W262" s="2"/>
      <c r="X262" s="2"/>
      <c r="Y262" s="2"/>
    </row>
    <row r="263" spans="2:25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P263" s="2"/>
      <c r="Q263" s="2"/>
      <c r="T263" s="2"/>
      <c r="U263" s="2"/>
      <c r="V263" s="2"/>
      <c r="W263" s="2"/>
      <c r="X263" s="2"/>
      <c r="Y263" s="2"/>
    </row>
    <row r="264" spans="2:25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P264" s="2"/>
      <c r="Q264" s="2"/>
      <c r="T264" s="2"/>
      <c r="U264" s="2"/>
      <c r="V264" s="2"/>
      <c r="W264" s="2"/>
      <c r="X264" s="2"/>
      <c r="Y264" s="2"/>
    </row>
    <row r="265" spans="2:25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P265" s="2"/>
      <c r="Q265" s="2"/>
      <c r="T265" s="2"/>
      <c r="U265" s="2"/>
      <c r="V265" s="2"/>
      <c r="W265" s="2"/>
      <c r="X265" s="2"/>
      <c r="Y265" s="2"/>
    </row>
    <row r="266" spans="2:25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P266" s="2"/>
      <c r="Q266" s="2"/>
      <c r="T266" s="2"/>
      <c r="U266" s="2"/>
      <c r="V266" s="2"/>
      <c r="W266" s="2"/>
      <c r="X266" s="2"/>
      <c r="Y266" s="2"/>
    </row>
    <row r="267" spans="2:25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P267" s="2"/>
      <c r="Q267" s="2"/>
      <c r="T267" s="2"/>
      <c r="U267" s="2"/>
      <c r="V267" s="2"/>
      <c r="W267" s="2"/>
      <c r="X267" s="2"/>
      <c r="Y267" s="2"/>
    </row>
    <row r="268" spans="2:25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P268" s="2"/>
      <c r="Q268" s="2"/>
      <c r="T268" s="2"/>
      <c r="U268" s="2"/>
      <c r="V268" s="2"/>
      <c r="W268" s="2"/>
      <c r="X268" s="2"/>
      <c r="Y268" s="2"/>
    </row>
    <row r="269" spans="2:25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P269" s="2"/>
      <c r="Q269" s="2"/>
      <c r="T269" s="2"/>
      <c r="U269" s="2"/>
      <c r="V269" s="2"/>
      <c r="W269" s="2"/>
      <c r="X269" s="2"/>
      <c r="Y269" s="2"/>
    </row>
    <row r="270" spans="2:25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P270" s="2"/>
      <c r="Q270" s="2"/>
      <c r="T270" s="2"/>
      <c r="U270" s="2"/>
      <c r="V270" s="2"/>
      <c r="W270" s="2"/>
      <c r="X270" s="2"/>
      <c r="Y270" s="2"/>
    </row>
    <row r="271" spans="2:25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P271" s="2"/>
      <c r="Q271" s="2"/>
      <c r="T271" s="2"/>
      <c r="U271" s="2"/>
      <c r="V271" s="2"/>
      <c r="W271" s="2"/>
      <c r="X271" s="2"/>
      <c r="Y271" s="2"/>
    </row>
    <row r="272" spans="2:25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P272" s="2"/>
      <c r="Q272" s="2"/>
      <c r="T272" s="2"/>
      <c r="U272" s="2"/>
      <c r="V272" s="2"/>
      <c r="W272" s="2"/>
      <c r="X272" s="2"/>
      <c r="Y272" s="2"/>
    </row>
    <row r="273" spans="2:25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P273" s="2"/>
      <c r="Q273" s="2"/>
      <c r="T273" s="2"/>
      <c r="U273" s="2"/>
      <c r="V273" s="2"/>
      <c r="W273" s="2"/>
      <c r="X273" s="2"/>
      <c r="Y273" s="2"/>
    </row>
    <row r="274" spans="2:25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P274" s="2"/>
      <c r="Q274" s="2"/>
      <c r="T274" s="2"/>
      <c r="U274" s="2"/>
      <c r="V274" s="2"/>
      <c r="W274" s="2"/>
      <c r="X274" s="2"/>
      <c r="Y274" s="2"/>
    </row>
    <row r="275" spans="2:25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P275" s="2"/>
      <c r="Q275" s="2"/>
      <c r="T275" s="2"/>
      <c r="U275" s="2"/>
      <c r="V275" s="2"/>
      <c r="W275" s="2"/>
      <c r="X275" s="2"/>
      <c r="Y275" s="2"/>
    </row>
    <row r="276" spans="2:25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P276" s="2"/>
      <c r="Q276" s="2"/>
      <c r="T276" s="2"/>
      <c r="U276" s="2"/>
      <c r="V276" s="2"/>
      <c r="W276" s="2"/>
      <c r="X276" s="2"/>
      <c r="Y276" s="2"/>
    </row>
    <row r="277" spans="2:25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P277" s="2"/>
      <c r="Q277" s="2"/>
      <c r="T277" s="2"/>
      <c r="U277" s="2"/>
      <c r="V277" s="2"/>
      <c r="W277" s="2"/>
      <c r="X277" s="2"/>
      <c r="Y277" s="2"/>
    </row>
    <row r="278" spans="2:25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P278" s="2"/>
      <c r="Q278" s="2"/>
      <c r="T278" s="2"/>
      <c r="U278" s="2"/>
      <c r="V278" s="2"/>
      <c r="W278" s="2"/>
      <c r="X278" s="2"/>
      <c r="Y278" s="2"/>
    </row>
    <row r="279" spans="2:25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P279" s="2"/>
      <c r="Q279" s="2"/>
      <c r="T279" s="2"/>
      <c r="U279" s="2"/>
      <c r="V279" s="2"/>
      <c r="W279" s="2"/>
      <c r="X279" s="2"/>
      <c r="Y279" s="2"/>
    </row>
    <row r="280" spans="2:25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P280" s="2"/>
      <c r="Q280" s="2"/>
      <c r="T280" s="2"/>
      <c r="U280" s="2"/>
      <c r="V280" s="2"/>
      <c r="W280" s="2"/>
      <c r="X280" s="2"/>
      <c r="Y280" s="2"/>
    </row>
    <row r="281" spans="2:25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P281" s="2"/>
      <c r="Q281" s="2"/>
      <c r="T281" s="2"/>
      <c r="U281" s="2"/>
      <c r="V281" s="2"/>
      <c r="W281" s="2"/>
      <c r="X281" s="2"/>
      <c r="Y281" s="2"/>
    </row>
    <row r="282" spans="2:25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P282" s="2"/>
      <c r="Q282" s="2"/>
      <c r="T282" s="2"/>
      <c r="U282" s="2"/>
      <c r="V282" s="2"/>
      <c r="W282" s="2"/>
      <c r="X282" s="2"/>
      <c r="Y282" s="2"/>
    </row>
    <row r="283" spans="2:25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P283" s="2"/>
      <c r="Q283" s="2"/>
      <c r="T283" s="2"/>
      <c r="U283" s="2"/>
      <c r="V283" s="2"/>
      <c r="W283" s="2"/>
      <c r="X283" s="2"/>
      <c r="Y283" s="2"/>
    </row>
    <row r="284" spans="2:25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P284" s="2"/>
      <c r="Q284" s="2"/>
      <c r="T284" s="2"/>
      <c r="U284" s="2"/>
      <c r="V284" s="2"/>
      <c r="W284" s="2"/>
      <c r="X284" s="2"/>
      <c r="Y284" s="2"/>
    </row>
    <row r="285" spans="2:25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P285" s="2"/>
      <c r="Q285" s="2"/>
      <c r="T285" s="2"/>
      <c r="U285" s="2"/>
      <c r="V285" s="2"/>
      <c r="W285" s="2"/>
      <c r="X285" s="2"/>
      <c r="Y285" s="2"/>
    </row>
    <row r="286" spans="2:25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P286" s="2"/>
      <c r="Q286" s="2"/>
      <c r="T286" s="2"/>
      <c r="U286" s="2"/>
      <c r="V286" s="2"/>
      <c r="W286" s="2"/>
      <c r="X286" s="2"/>
      <c r="Y286" s="2"/>
    </row>
    <row r="287" spans="2:25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P287" s="2"/>
      <c r="Q287" s="2"/>
      <c r="T287" s="2"/>
      <c r="U287" s="2"/>
      <c r="V287" s="2"/>
      <c r="W287" s="2"/>
      <c r="X287" s="2"/>
      <c r="Y287" s="2"/>
    </row>
    <row r="288" spans="2:25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P288" s="2"/>
      <c r="Q288" s="2"/>
      <c r="T288" s="2"/>
      <c r="U288" s="2"/>
      <c r="V288" s="2"/>
      <c r="W288" s="2"/>
      <c r="X288" s="2"/>
      <c r="Y288" s="2"/>
    </row>
    <row r="289" spans="2:25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P289" s="2"/>
      <c r="Q289" s="2"/>
      <c r="T289" s="2"/>
      <c r="U289" s="2"/>
      <c r="V289" s="2"/>
      <c r="W289" s="2"/>
      <c r="X289" s="2"/>
      <c r="Y289" s="2"/>
    </row>
    <row r="290" spans="2:25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P290" s="2"/>
      <c r="Q290" s="2"/>
      <c r="T290" s="2"/>
      <c r="U290" s="2"/>
      <c r="V290" s="2"/>
      <c r="W290" s="2"/>
      <c r="X290" s="2"/>
      <c r="Y290" s="2"/>
    </row>
    <row r="291" spans="2:25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P291" s="2"/>
      <c r="Q291" s="2"/>
      <c r="T291" s="2"/>
      <c r="U291" s="2"/>
      <c r="V291" s="2"/>
      <c r="W291" s="2"/>
      <c r="X291" s="2"/>
      <c r="Y291" s="2"/>
    </row>
    <row r="292" spans="2:25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P292" s="2"/>
      <c r="Q292" s="2"/>
      <c r="T292" s="2"/>
      <c r="U292" s="2"/>
      <c r="V292" s="2"/>
      <c r="W292" s="2"/>
      <c r="X292" s="2"/>
      <c r="Y292" s="2"/>
    </row>
    <row r="293" spans="2:25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P293" s="2"/>
      <c r="Q293" s="2"/>
      <c r="T293" s="2"/>
      <c r="U293" s="2"/>
      <c r="V293" s="2"/>
      <c r="W293" s="2"/>
      <c r="X293" s="2"/>
      <c r="Y293" s="2"/>
    </row>
    <row r="294" spans="2:25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P294" s="2"/>
      <c r="Q294" s="2"/>
      <c r="T294" s="2"/>
      <c r="U294" s="2"/>
      <c r="V294" s="2"/>
      <c r="W294" s="2"/>
      <c r="X294" s="2"/>
      <c r="Y294" s="2"/>
    </row>
    <row r="295" spans="2:25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P295" s="2"/>
      <c r="Q295" s="2"/>
      <c r="T295" s="2"/>
      <c r="U295" s="2"/>
      <c r="V295" s="2"/>
      <c r="W295" s="2"/>
      <c r="X295" s="2"/>
      <c r="Y295" s="2"/>
    </row>
    <row r="296" spans="2:25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P296" s="2"/>
      <c r="Q296" s="2"/>
      <c r="T296" s="2"/>
      <c r="U296" s="2"/>
      <c r="V296" s="2"/>
      <c r="W296" s="2"/>
      <c r="X296" s="2"/>
      <c r="Y296" s="2"/>
    </row>
    <row r="297" spans="2:25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P297" s="2"/>
      <c r="Q297" s="2"/>
      <c r="T297" s="2"/>
      <c r="U297" s="2"/>
      <c r="V297" s="2"/>
      <c r="W297" s="2"/>
      <c r="X297" s="2"/>
      <c r="Y297" s="2"/>
    </row>
    <row r="298" spans="2:25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P298" s="2"/>
      <c r="Q298" s="2"/>
      <c r="T298" s="2"/>
      <c r="U298" s="2"/>
      <c r="V298" s="2"/>
      <c r="W298" s="2"/>
      <c r="X298" s="2"/>
      <c r="Y298" s="2"/>
    </row>
    <row r="299" spans="2:25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P299" s="2"/>
      <c r="Q299" s="2"/>
      <c r="T299" s="2"/>
      <c r="U299" s="2"/>
      <c r="V299" s="2"/>
      <c r="W299" s="2"/>
      <c r="X299" s="2"/>
      <c r="Y299" s="2"/>
    </row>
    <row r="300" spans="2:25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P300" s="2"/>
      <c r="Q300" s="2"/>
      <c r="T300" s="2"/>
      <c r="U300" s="2"/>
      <c r="V300" s="2"/>
      <c r="W300" s="2"/>
      <c r="X300" s="2"/>
      <c r="Y300" s="2"/>
    </row>
    <row r="301" spans="2:25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P301" s="2"/>
      <c r="Q301" s="2"/>
      <c r="T301" s="2"/>
      <c r="U301" s="2"/>
      <c r="V301" s="2"/>
      <c r="W301" s="2"/>
      <c r="X301" s="2"/>
      <c r="Y301" s="2"/>
    </row>
    <row r="302" spans="2:25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P302" s="2"/>
      <c r="Q302" s="2"/>
      <c r="T302" s="2"/>
      <c r="U302" s="2"/>
      <c r="V302" s="2"/>
      <c r="W302" s="2"/>
      <c r="X302" s="2"/>
      <c r="Y302" s="2"/>
    </row>
    <row r="303" spans="2:25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P303" s="2"/>
      <c r="Q303" s="2"/>
      <c r="T303" s="2"/>
      <c r="U303" s="2"/>
      <c r="V303" s="2"/>
      <c r="W303" s="2"/>
      <c r="X303" s="2"/>
      <c r="Y303" s="2"/>
    </row>
    <row r="304" spans="2:25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P304" s="2"/>
      <c r="Q304" s="2"/>
      <c r="T304" s="2"/>
      <c r="U304" s="2"/>
      <c r="V304" s="2"/>
      <c r="W304" s="2"/>
      <c r="X304" s="2"/>
      <c r="Y304" s="2"/>
    </row>
    <row r="305" spans="2:25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P305" s="2"/>
      <c r="Q305" s="2"/>
      <c r="T305" s="2"/>
      <c r="U305" s="2"/>
      <c r="V305" s="2"/>
      <c r="W305" s="2"/>
      <c r="X305" s="2"/>
      <c r="Y305" s="2"/>
    </row>
    <row r="306" spans="2:25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P306" s="2"/>
      <c r="Q306" s="2"/>
      <c r="T306" s="2"/>
      <c r="U306" s="2"/>
      <c r="V306" s="2"/>
      <c r="W306" s="2"/>
      <c r="X306" s="2"/>
      <c r="Y306" s="2"/>
    </row>
    <row r="307" spans="2:25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P307" s="2"/>
      <c r="Q307" s="2"/>
      <c r="T307" s="2"/>
      <c r="U307" s="2"/>
      <c r="V307" s="2"/>
      <c r="W307" s="2"/>
      <c r="X307" s="2"/>
      <c r="Y307" s="2"/>
    </row>
    <row r="308" spans="2:25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P308" s="2"/>
      <c r="Q308" s="2"/>
      <c r="T308" s="2"/>
      <c r="U308" s="2"/>
      <c r="V308" s="2"/>
      <c r="W308" s="2"/>
      <c r="X308" s="2"/>
      <c r="Y308" s="2"/>
    </row>
    <row r="309" spans="2:25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P309" s="2"/>
      <c r="Q309" s="2"/>
      <c r="T309" s="2"/>
      <c r="U309" s="2"/>
      <c r="V309" s="2"/>
      <c r="W309" s="2"/>
      <c r="X309" s="2"/>
      <c r="Y309" s="2"/>
    </row>
    <row r="310" spans="2:25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P310" s="2"/>
      <c r="Q310" s="2"/>
      <c r="T310" s="2"/>
      <c r="U310" s="2"/>
      <c r="V310" s="2"/>
      <c r="W310" s="2"/>
      <c r="X310" s="2"/>
      <c r="Y310" s="2"/>
    </row>
    <row r="311" spans="2:25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P311" s="2"/>
      <c r="Q311" s="2"/>
      <c r="T311" s="2"/>
      <c r="U311" s="2"/>
      <c r="V311" s="2"/>
      <c r="W311" s="2"/>
      <c r="X311" s="2"/>
      <c r="Y311" s="2"/>
    </row>
    <row r="312" spans="2:25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P312" s="2"/>
      <c r="Q312" s="2"/>
      <c r="T312" s="2"/>
      <c r="U312" s="2"/>
      <c r="V312" s="2"/>
      <c r="W312" s="2"/>
      <c r="X312" s="2"/>
      <c r="Y312" s="2"/>
    </row>
    <row r="313" spans="2:25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P313" s="2"/>
      <c r="Q313" s="2"/>
      <c r="T313" s="2"/>
      <c r="U313" s="2"/>
      <c r="V313" s="2"/>
      <c r="W313" s="2"/>
      <c r="X313" s="2"/>
      <c r="Y313" s="2"/>
    </row>
    <row r="314" spans="2:25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P314" s="2"/>
      <c r="Q314" s="2"/>
      <c r="T314" s="2"/>
      <c r="U314" s="2"/>
      <c r="V314" s="2"/>
      <c r="W314" s="2"/>
      <c r="X314" s="2"/>
      <c r="Y314" s="2"/>
    </row>
    <row r="315" spans="2:25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P315" s="2"/>
      <c r="Q315" s="2"/>
      <c r="T315" s="2"/>
      <c r="U315" s="2"/>
      <c r="V315" s="2"/>
      <c r="W315" s="2"/>
      <c r="X315" s="2"/>
      <c r="Y315" s="2"/>
    </row>
    <row r="316" spans="2:25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P316" s="2"/>
      <c r="Q316" s="2"/>
      <c r="T316" s="2"/>
      <c r="U316" s="2"/>
      <c r="V316" s="2"/>
      <c r="W316" s="2"/>
      <c r="X316" s="2"/>
      <c r="Y316" s="2"/>
    </row>
    <row r="317" spans="2:25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P317" s="2"/>
      <c r="Q317" s="2"/>
      <c r="T317" s="2"/>
      <c r="U317" s="2"/>
      <c r="V317" s="2"/>
      <c r="W317" s="2"/>
      <c r="X317" s="2"/>
      <c r="Y317" s="2"/>
    </row>
    <row r="318" spans="2:25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P318" s="2"/>
      <c r="Q318" s="2"/>
      <c r="T318" s="2"/>
      <c r="U318" s="2"/>
      <c r="V318" s="2"/>
      <c r="W318" s="2"/>
      <c r="X318" s="2"/>
      <c r="Y318" s="2"/>
    </row>
    <row r="319" spans="2:25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P319" s="2"/>
      <c r="Q319" s="2"/>
      <c r="T319" s="2"/>
      <c r="U319" s="2"/>
      <c r="V319" s="2"/>
      <c r="W319" s="2"/>
      <c r="X319" s="2"/>
      <c r="Y319" s="2"/>
    </row>
    <row r="320" spans="2:25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P320" s="2"/>
      <c r="Q320" s="2"/>
      <c r="T320" s="2"/>
      <c r="U320" s="2"/>
      <c r="V320" s="2"/>
      <c r="W320" s="2"/>
      <c r="X320" s="2"/>
      <c r="Y320" s="2"/>
    </row>
    <row r="321" spans="2:25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P321" s="2"/>
      <c r="Q321" s="2"/>
      <c r="T321" s="2"/>
      <c r="U321" s="2"/>
      <c r="V321" s="2"/>
      <c r="W321" s="2"/>
      <c r="X321" s="2"/>
      <c r="Y321" s="2"/>
    </row>
    <row r="322" spans="2:25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P322" s="2"/>
      <c r="Q322" s="2"/>
      <c r="T322" s="2"/>
      <c r="U322" s="2"/>
      <c r="V322" s="2"/>
      <c r="W322" s="2"/>
      <c r="X322" s="2"/>
      <c r="Y322" s="2"/>
    </row>
    <row r="323" spans="2:25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P323" s="2"/>
      <c r="Q323" s="2"/>
      <c r="T323" s="2"/>
      <c r="U323" s="2"/>
      <c r="V323" s="2"/>
      <c r="W323" s="2"/>
      <c r="X323" s="2"/>
      <c r="Y323" s="2"/>
    </row>
    <row r="324" spans="2:25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P324" s="2"/>
      <c r="Q324" s="2"/>
      <c r="T324" s="2"/>
      <c r="U324" s="2"/>
      <c r="V324" s="2"/>
      <c r="W324" s="2"/>
      <c r="X324" s="2"/>
      <c r="Y324" s="2"/>
    </row>
    <row r="325" spans="2:25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P325" s="2"/>
      <c r="Q325" s="2"/>
      <c r="T325" s="2"/>
      <c r="U325" s="2"/>
      <c r="V325" s="2"/>
      <c r="W325" s="2"/>
      <c r="X325" s="2"/>
      <c r="Y325" s="2"/>
    </row>
    <row r="326" spans="2:25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P326" s="2"/>
      <c r="Q326" s="2"/>
      <c r="T326" s="2"/>
      <c r="U326" s="2"/>
      <c r="V326" s="2"/>
      <c r="W326" s="2"/>
      <c r="X326" s="2"/>
      <c r="Y326" s="2"/>
    </row>
    <row r="327" spans="2:25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P327" s="2"/>
      <c r="Q327" s="2"/>
      <c r="T327" s="2"/>
      <c r="U327" s="2"/>
      <c r="V327" s="2"/>
      <c r="W327" s="2"/>
      <c r="X327" s="2"/>
      <c r="Y327" s="2"/>
    </row>
    <row r="328" spans="2:25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P328" s="2"/>
      <c r="Q328" s="2"/>
      <c r="T328" s="2"/>
      <c r="U328" s="2"/>
      <c r="V328" s="2"/>
      <c r="W328" s="2"/>
      <c r="X328" s="2"/>
      <c r="Y328" s="2"/>
    </row>
    <row r="329" spans="2:25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P329" s="2"/>
      <c r="Q329" s="2"/>
      <c r="T329" s="2"/>
      <c r="U329" s="2"/>
      <c r="V329" s="2"/>
      <c r="W329" s="2"/>
      <c r="X329" s="2"/>
      <c r="Y329" s="2"/>
    </row>
    <row r="330" spans="2:25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P330" s="2"/>
      <c r="Q330" s="2"/>
      <c r="T330" s="2"/>
      <c r="U330" s="2"/>
      <c r="V330" s="2"/>
      <c r="W330" s="2"/>
      <c r="X330" s="2"/>
      <c r="Y330" s="2"/>
    </row>
    <row r="331" spans="2:25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P331" s="2"/>
      <c r="Q331" s="2"/>
      <c r="T331" s="2"/>
      <c r="U331" s="2"/>
      <c r="V331" s="2"/>
      <c r="W331" s="2"/>
      <c r="X331" s="2"/>
      <c r="Y331" s="2"/>
    </row>
    <row r="332" spans="2:25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P332" s="2"/>
      <c r="Q332" s="2"/>
      <c r="T332" s="2"/>
      <c r="U332" s="2"/>
      <c r="V332" s="2"/>
      <c r="W332" s="2"/>
      <c r="X332" s="2"/>
      <c r="Y332" s="2"/>
    </row>
    <row r="333" spans="2:25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P333" s="2"/>
      <c r="Q333" s="2"/>
      <c r="T333" s="2"/>
      <c r="U333" s="2"/>
      <c r="V333" s="2"/>
      <c r="W333" s="2"/>
      <c r="X333" s="2"/>
      <c r="Y333" s="2"/>
    </row>
    <row r="334" spans="2:25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P334" s="2"/>
      <c r="Q334" s="2"/>
      <c r="T334" s="2"/>
      <c r="U334" s="2"/>
      <c r="V334" s="2"/>
      <c r="W334" s="2"/>
      <c r="X334" s="2"/>
      <c r="Y334" s="2"/>
    </row>
    <row r="335" spans="2:25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P335" s="2"/>
      <c r="Q335" s="2"/>
      <c r="T335" s="2"/>
      <c r="U335" s="2"/>
      <c r="V335" s="2"/>
      <c r="W335" s="2"/>
      <c r="X335" s="2"/>
      <c r="Y335" s="2"/>
    </row>
    <row r="336" spans="2:25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P336" s="2"/>
      <c r="Q336" s="2"/>
      <c r="T336" s="2"/>
      <c r="U336" s="2"/>
      <c r="V336" s="2"/>
      <c r="W336" s="2"/>
      <c r="X336" s="2"/>
      <c r="Y336" s="2"/>
    </row>
    <row r="337" spans="2:25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P337" s="2"/>
      <c r="Q337" s="2"/>
      <c r="T337" s="2"/>
      <c r="U337" s="2"/>
      <c r="V337" s="2"/>
      <c r="W337" s="2"/>
      <c r="X337" s="2"/>
      <c r="Y337" s="2"/>
    </row>
    <row r="338" spans="2:25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P338" s="2"/>
      <c r="Q338" s="2"/>
      <c r="T338" s="2"/>
      <c r="U338" s="2"/>
      <c r="V338" s="2"/>
      <c r="W338" s="2"/>
      <c r="X338" s="2"/>
      <c r="Y338" s="2"/>
    </row>
    <row r="339" spans="2:25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P339" s="2"/>
      <c r="Q339" s="2"/>
      <c r="T339" s="2"/>
      <c r="U339" s="2"/>
      <c r="V339" s="2"/>
      <c r="W339" s="2"/>
      <c r="X339" s="2"/>
      <c r="Y339" s="2"/>
    </row>
    <row r="340" spans="2:25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P340" s="2"/>
      <c r="Q340" s="2"/>
      <c r="T340" s="2"/>
      <c r="U340" s="2"/>
      <c r="V340" s="2"/>
      <c r="W340" s="2"/>
      <c r="X340" s="2"/>
      <c r="Y340" s="2"/>
    </row>
    <row r="341" spans="2:25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P341" s="2"/>
      <c r="Q341" s="2"/>
      <c r="T341" s="2"/>
      <c r="U341" s="2"/>
      <c r="V341" s="2"/>
      <c r="W341" s="2"/>
      <c r="X341" s="2"/>
      <c r="Y341" s="2"/>
    </row>
    <row r="342" spans="2:25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P342" s="2"/>
      <c r="Q342" s="2"/>
      <c r="T342" s="2"/>
      <c r="U342" s="2"/>
      <c r="V342" s="2"/>
      <c r="W342" s="2"/>
      <c r="X342" s="2"/>
      <c r="Y342" s="2"/>
    </row>
    <row r="343" spans="2:25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P343" s="2"/>
      <c r="Q343" s="2"/>
      <c r="T343" s="2"/>
      <c r="U343" s="2"/>
      <c r="V343" s="2"/>
      <c r="W343" s="2"/>
      <c r="X343" s="2"/>
      <c r="Y343" s="2"/>
    </row>
    <row r="344" spans="2:25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P344" s="2"/>
      <c r="Q344" s="2"/>
      <c r="T344" s="2"/>
      <c r="U344" s="2"/>
      <c r="V344" s="2"/>
      <c r="W344" s="2"/>
      <c r="X344" s="2"/>
      <c r="Y344" s="2"/>
    </row>
    <row r="345" spans="2:25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P345" s="2"/>
      <c r="Q345" s="2"/>
      <c r="T345" s="2"/>
      <c r="U345" s="2"/>
      <c r="V345" s="2"/>
      <c r="W345" s="2"/>
      <c r="X345" s="2"/>
      <c r="Y345" s="2"/>
    </row>
    <row r="346" spans="2:25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P346" s="2"/>
      <c r="Q346" s="2"/>
      <c r="T346" s="2"/>
      <c r="U346" s="2"/>
      <c r="V346" s="2"/>
      <c r="W346" s="2"/>
      <c r="X346" s="2"/>
      <c r="Y346" s="2"/>
    </row>
    <row r="347" spans="2:25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P347" s="2"/>
      <c r="Q347" s="2"/>
      <c r="T347" s="2"/>
      <c r="U347" s="2"/>
      <c r="V347" s="2"/>
      <c r="W347" s="2"/>
      <c r="X347" s="2"/>
      <c r="Y347" s="2"/>
    </row>
    <row r="348" spans="2:25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P348" s="2"/>
      <c r="Q348" s="2"/>
      <c r="T348" s="2"/>
      <c r="U348" s="2"/>
      <c r="V348" s="2"/>
      <c r="W348" s="2"/>
      <c r="X348" s="2"/>
      <c r="Y348" s="2"/>
    </row>
    <row r="349" spans="2:25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P349" s="2"/>
      <c r="Q349" s="2"/>
      <c r="T349" s="2"/>
      <c r="U349" s="2"/>
      <c r="V349" s="2"/>
      <c r="W349" s="2"/>
      <c r="X349" s="2"/>
      <c r="Y349" s="2"/>
    </row>
    <row r="350" spans="2:25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P350" s="2"/>
      <c r="Q350" s="2"/>
      <c r="T350" s="2"/>
      <c r="U350" s="2"/>
      <c r="V350" s="2"/>
      <c r="W350" s="2"/>
      <c r="X350" s="2"/>
      <c r="Y350" s="2"/>
    </row>
    <row r="351" spans="2:25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P351" s="2"/>
      <c r="Q351" s="2"/>
      <c r="T351" s="2"/>
      <c r="U351" s="2"/>
      <c r="V351" s="2"/>
      <c r="W351" s="2"/>
      <c r="X351" s="2"/>
      <c r="Y351" s="2"/>
    </row>
    <row r="352" spans="2:25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P352" s="2"/>
      <c r="Q352" s="2"/>
      <c r="T352" s="2"/>
      <c r="U352" s="2"/>
      <c r="V352" s="2"/>
      <c r="W352" s="2"/>
      <c r="X352" s="2"/>
      <c r="Y352" s="2"/>
    </row>
    <row r="353" spans="2:25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P353" s="2"/>
      <c r="Q353" s="2"/>
      <c r="T353" s="2"/>
      <c r="U353" s="2"/>
      <c r="V353" s="2"/>
      <c r="W353" s="2"/>
      <c r="X353" s="2"/>
      <c r="Y353" s="2"/>
    </row>
    <row r="354" spans="2:25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P354" s="2"/>
      <c r="Q354" s="2"/>
      <c r="T354" s="2"/>
      <c r="U354" s="2"/>
      <c r="V354" s="2"/>
      <c r="W354" s="2"/>
      <c r="X354" s="2"/>
      <c r="Y354" s="2"/>
    </row>
    <row r="355" spans="2:25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P355" s="2"/>
      <c r="Q355" s="2"/>
      <c r="T355" s="2"/>
      <c r="U355" s="2"/>
      <c r="V355" s="2"/>
      <c r="W355" s="2"/>
      <c r="X355" s="2"/>
      <c r="Y355" s="2"/>
    </row>
    <row r="356" spans="2:25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P356" s="2"/>
      <c r="Q356" s="2"/>
      <c r="T356" s="2"/>
      <c r="U356" s="2"/>
      <c r="V356" s="2"/>
      <c r="W356" s="2"/>
      <c r="X356" s="2"/>
      <c r="Y356" s="2"/>
    </row>
    <row r="357" spans="2:25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P357" s="2"/>
      <c r="Q357" s="2"/>
      <c r="T357" s="2"/>
      <c r="U357" s="2"/>
      <c r="V357" s="2"/>
      <c r="W357" s="2"/>
      <c r="X357" s="2"/>
      <c r="Y357" s="2"/>
    </row>
    <row r="358" spans="2:25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P358" s="2"/>
      <c r="Q358" s="2"/>
      <c r="T358" s="2"/>
      <c r="U358" s="2"/>
      <c r="V358" s="2"/>
      <c r="W358" s="2"/>
      <c r="X358" s="2"/>
      <c r="Y358" s="2"/>
    </row>
    <row r="359" spans="2:25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P359" s="2"/>
      <c r="Q359" s="2"/>
      <c r="T359" s="2"/>
      <c r="U359" s="2"/>
      <c r="V359" s="2"/>
      <c r="W359" s="2"/>
      <c r="X359" s="2"/>
      <c r="Y359" s="2"/>
    </row>
    <row r="360" spans="2:25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P360" s="2"/>
      <c r="Q360" s="2"/>
      <c r="T360" s="2"/>
      <c r="U360" s="2"/>
      <c r="V360" s="2"/>
      <c r="W360" s="2"/>
      <c r="X360" s="2"/>
      <c r="Y360" s="2"/>
    </row>
    <row r="361" spans="2:25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P361" s="2"/>
      <c r="Q361" s="2"/>
      <c r="T361" s="2"/>
      <c r="U361" s="2"/>
      <c r="V361" s="2"/>
      <c r="W361" s="2"/>
      <c r="X361" s="2"/>
      <c r="Y361" s="2"/>
    </row>
    <row r="362" spans="2:25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P362" s="2"/>
      <c r="Q362" s="2"/>
      <c r="T362" s="2"/>
      <c r="U362" s="2"/>
      <c r="V362" s="2"/>
      <c r="W362" s="2"/>
      <c r="X362" s="2"/>
      <c r="Y362" s="2"/>
    </row>
    <row r="363" spans="2:25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P363" s="2"/>
      <c r="Q363" s="2"/>
      <c r="T363" s="2"/>
      <c r="U363" s="2"/>
      <c r="V363" s="2"/>
      <c r="W363" s="2"/>
      <c r="X363" s="2"/>
      <c r="Y363" s="2"/>
    </row>
    <row r="364" spans="2:25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P364" s="2"/>
      <c r="Q364" s="2"/>
      <c r="T364" s="2"/>
      <c r="U364" s="2"/>
      <c r="V364" s="2"/>
      <c r="W364" s="2"/>
      <c r="X364" s="2"/>
      <c r="Y364" s="2"/>
    </row>
    <row r="365" spans="2:25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P365" s="2"/>
      <c r="Q365" s="2"/>
      <c r="T365" s="2"/>
      <c r="U365" s="2"/>
      <c r="V365" s="2"/>
      <c r="W365" s="2"/>
      <c r="X365" s="2"/>
      <c r="Y365" s="2"/>
    </row>
    <row r="366" spans="2:25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P366" s="2"/>
      <c r="Q366" s="2"/>
      <c r="T366" s="2"/>
      <c r="U366" s="2"/>
      <c r="V366" s="2"/>
      <c r="W366" s="2"/>
      <c r="X366" s="2"/>
      <c r="Y366" s="2"/>
    </row>
    <row r="367" spans="2:25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P367" s="2"/>
      <c r="Q367" s="2"/>
      <c r="T367" s="2"/>
      <c r="U367" s="2"/>
      <c r="V367" s="2"/>
      <c r="W367" s="2"/>
      <c r="X367" s="2"/>
      <c r="Y367" s="2"/>
    </row>
    <row r="368" spans="2:25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P368" s="2"/>
      <c r="Q368" s="2"/>
      <c r="T368" s="2"/>
      <c r="U368" s="2"/>
      <c r="V368" s="2"/>
      <c r="W368" s="2"/>
      <c r="X368" s="2"/>
      <c r="Y368" s="2"/>
    </row>
    <row r="369" spans="2:25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P369" s="2"/>
      <c r="Q369" s="2"/>
      <c r="T369" s="2"/>
      <c r="U369" s="2"/>
      <c r="V369" s="2"/>
      <c r="W369" s="2"/>
      <c r="X369" s="2"/>
      <c r="Y369" s="2"/>
    </row>
    <row r="370" spans="2:25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P370" s="2"/>
      <c r="Q370" s="2"/>
      <c r="T370" s="2"/>
      <c r="U370" s="2"/>
      <c r="V370" s="2"/>
      <c r="W370" s="2"/>
      <c r="X370" s="2"/>
      <c r="Y370" s="2"/>
    </row>
    <row r="371" spans="2:25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P371" s="2"/>
      <c r="Q371" s="2"/>
      <c r="T371" s="2"/>
      <c r="U371" s="2"/>
      <c r="V371" s="2"/>
      <c r="W371" s="2"/>
      <c r="X371" s="2"/>
      <c r="Y371" s="2"/>
    </row>
    <row r="372" spans="2:25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P372" s="2"/>
      <c r="Q372" s="2"/>
      <c r="T372" s="2"/>
      <c r="U372" s="2"/>
      <c r="V372" s="2"/>
      <c r="W372" s="2"/>
      <c r="X372" s="2"/>
      <c r="Y372" s="2"/>
    </row>
    <row r="373" spans="2:25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P373" s="2"/>
      <c r="Q373" s="2"/>
      <c r="T373" s="2"/>
      <c r="U373" s="2"/>
      <c r="V373" s="2"/>
      <c r="W373" s="2"/>
      <c r="X373" s="2"/>
      <c r="Y373" s="2"/>
    </row>
    <row r="374" spans="2:25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P374" s="2"/>
      <c r="Q374" s="2"/>
      <c r="T374" s="2"/>
      <c r="U374" s="2"/>
      <c r="V374" s="2"/>
      <c r="W374" s="2"/>
      <c r="X374" s="2"/>
      <c r="Y374" s="2"/>
    </row>
    <row r="375" spans="2:25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P375" s="2"/>
      <c r="Q375" s="2"/>
      <c r="T375" s="2"/>
      <c r="U375" s="2"/>
      <c r="V375" s="2"/>
      <c r="W375" s="2"/>
      <c r="X375" s="2"/>
      <c r="Y375" s="2"/>
    </row>
    <row r="376" spans="2:25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P376" s="2"/>
      <c r="Q376" s="2"/>
      <c r="T376" s="2"/>
      <c r="U376" s="2"/>
      <c r="V376" s="2"/>
      <c r="W376" s="2"/>
      <c r="X376" s="2"/>
      <c r="Y376" s="2"/>
    </row>
    <row r="377" spans="2:25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P377" s="2"/>
      <c r="Q377" s="2"/>
      <c r="T377" s="2"/>
      <c r="U377" s="2"/>
      <c r="V377" s="2"/>
      <c r="W377" s="2"/>
      <c r="X377" s="2"/>
      <c r="Y377" s="2"/>
    </row>
    <row r="378" spans="2:25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P378" s="2"/>
      <c r="Q378" s="2"/>
      <c r="T378" s="2"/>
      <c r="U378" s="2"/>
      <c r="V378" s="2"/>
      <c r="W378" s="2"/>
      <c r="X378" s="2"/>
      <c r="Y378" s="2"/>
    </row>
    <row r="379" spans="2:25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P379" s="2"/>
      <c r="Q379" s="2"/>
      <c r="T379" s="2"/>
      <c r="U379" s="2"/>
      <c r="V379" s="2"/>
      <c r="W379" s="2"/>
      <c r="X379" s="2"/>
      <c r="Y379" s="2"/>
    </row>
    <row r="380" spans="2:25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P380" s="2"/>
      <c r="Q380" s="2"/>
      <c r="T380" s="2"/>
      <c r="U380" s="2"/>
      <c r="V380" s="2"/>
      <c r="W380" s="2"/>
      <c r="X380" s="2"/>
      <c r="Y380" s="2"/>
    </row>
    <row r="381" spans="2:25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P381" s="2"/>
      <c r="Q381" s="2"/>
      <c r="T381" s="2"/>
      <c r="U381" s="2"/>
      <c r="V381" s="2"/>
      <c r="W381" s="2"/>
      <c r="X381" s="2"/>
      <c r="Y381" s="2"/>
    </row>
    <row r="382" spans="2:25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P382" s="2"/>
      <c r="Q382" s="2"/>
      <c r="T382" s="2"/>
      <c r="U382" s="2"/>
      <c r="V382" s="2"/>
      <c r="W382" s="2"/>
      <c r="X382" s="2"/>
      <c r="Y382" s="2"/>
    </row>
    <row r="383" spans="2:25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P383" s="2"/>
      <c r="Q383" s="2"/>
      <c r="T383" s="2"/>
      <c r="U383" s="2"/>
      <c r="V383" s="2"/>
      <c r="W383" s="2"/>
      <c r="X383" s="2"/>
      <c r="Y383" s="2"/>
    </row>
    <row r="384" spans="2:25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P384" s="2"/>
      <c r="Q384" s="2"/>
      <c r="T384" s="2"/>
      <c r="U384" s="2"/>
      <c r="V384" s="2"/>
      <c r="W384" s="2"/>
      <c r="X384" s="2"/>
      <c r="Y384" s="2"/>
    </row>
    <row r="385" spans="2:25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P385" s="2"/>
      <c r="Q385" s="2"/>
      <c r="T385" s="2"/>
      <c r="U385" s="2"/>
      <c r="V385" s="2"/>
      <c r="W385" s="2"/>
      <c r="X385" s="2"/>
      <c r="Y385" s="2"/>
    </row>
    <row r="386" spans="2:25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P386" s="2"/>
      <c r="Q386" s="2"/>
      <c r="T386" s="2"/>
      <c r="U386" s="2"/>
      <c r="V386" s="2"/>
      <c r="W386" s="2"/>
      <c r="X386" s="2"/>
      <c r="Y386" s="2"/>
    </row>
    <row r="387" spans="2:25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P387" s="2"/>
      <c r="Q387" s="2"/>
      <c r="T387" s="2"/>
      <c r="U387" s="2"/>
      <c r="V387" s="2"/>
      <c r="W387" s="2"/>
      <c r="X387" s="2"/>
      <c r="Y387" s="2"/>
    </row>
    <row r="388" spans="2:25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P388" s="2"/>
      <c r="Q388" s="2"/>
      <c r="T388" s="2"/>
      <c r="U388" s="2"/>
      <c r="V388" s="2"/>
      <c r="W388" s="2"/>
      <c r="X388" s="2"/>
      <c r="Y388" s="2"/>
    </row>
    <row r="389" spans="2:25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P389" s="2"/>
      <c r="Q389" s="2"/>
      <c r="T389" s="2"/>
      <c r="U389" s="2"/>
      <c r="V389" s="2"/>
      <c r="W389" s="2"/>
      <c r="X389" s="2"/>
      <c r="Y389" s="2"/>
    </row>
    <row r="390" spans="2:25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P390" s="2"/>
      <c r="Q390" s="2"/>
      <c r="T390" s="2"/>
      <c r="U390" s="2"/>
      <c r="V390" s="2"/>
      <c r="W390" s="2"/>
      <c r="X390" s="2"/>
      <c r="Y390" s="2"/>
    </row>
    <row r="391" spans="2:25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P391" s="2"/>
      <c r="Q391" s="2"/>
      <c r="T391" s="2"/>
      <c r="U391" s="2"/>
      <c r="V391" s="2"/>
      <c r="W391" s="2"/>
      <c r="X391" s="2"/>
      <c r="Y391" s="2"/>
    </row>
    <row r="392" spans="2:25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P392" s="2"/>
      <c r="Q392" s="2"/>
      <c r="T392" s="2"/>
      <c r="U392" s="2"/>
      <c r="V392" s="2"/>
      <c r="W392" s="2"/>
      <c r="X392" s="2"/>
      <c r="Y392" s="2"/>
    </row>
    <row r="393" spans="2:25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P393" s="2"/>
      <c r="Q393" s="2"/>
      <c r="T393" s="2"/>
      <c r="U393" s="2"/>
      <c r="V393" s="2"/>
      <c r="W393" s="2"/>
      <c r="X393" s="2"/>
      <c r="Y393" s="2"/>
    </row>
    <row r="394" spans="2:25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P394" s="2"/>
      <c r="Q394" s="2"/>
      <c r="T394" s="2"/>
      <c r="U394" s="2"/>
      <c r="V394" s="2"/>
      <c r="W394" s="2"/>
      <c r="X394" s="2"/>
      <c r="Y394" s="2"/>
    </row>
    <row r="395" spans="2:25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P395" s="2"/>
      <c r="Q395" s="2"/>
      <c r="T395" s="2"/>
      <c r="U395" s="2"/>
      <c r="V395" s="2"/>
      <c r="W395" s="2"/>
      <c r="X395" s="2"/>
      <c r="Y395" s="2"/>
    </row>
    <row r="396" spans="2:25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P396" s="2"/>
      <c r="Q396" s="2"/>
      <c r="T396" s="2"/>
      <c r="U396" s="2"/>
      <c r="V396" s="2"/>
      <c r="W396" s="2"/>
      <c r="X396" s="2"/>
      <c r="Y396" s="2"/>
    </row>
    <row r="397" spans="2:25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P397" s="2"/>
      <c r="Q397" s="2"/>
      <c r="T397" s="2"/>
      <c r="U397" s="2"/>
      <c r="V397" s="2"/>
      <c r="W397" s="2"/>
      <c r="X397" s="2"/>
      <c r="Y397" s="2"/>
    </row>
    <row r="398" spans="2:25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P398" s="2"/>
      <c r="Q398" s="2"/>
      <c r="T398" s="2"/>
      <c r="U398" s="2"/>
      <c r="V398" s="2"/>
      <c r="W398" s="2"/>
      <c r="X398" s="2"/>
      <c r="Y398" s="2"/>
    </row>
    <row r="399" spans="2:25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P399" s="2"/>
      <c r="Q399" s="2"/>
      <c r="T399" s="2"/>
      <c r="U399" s="2"/>
      <c r="V399" s="2"/>
      <c r="W399" s="2"/>
      <c r="X399" s="2"/>
      <c r="Y399" s="2"/>
    </row>
    <row r="400" spans="2:25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P400" s="2"/>
      <c r="Q400" s="2"/>
      <c r="T400" s="2"/>
      <c r="U400" s="2"/>
      <c r="V400" s="2"/>
      <c r="W400" s="2"/>
      <c r="X400" s="2"/>
      <c r="Y400" s="2"/>
    </row>
    <row r="401" spans="2:25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P401" s="2"/>
      <c r="Q401" s="2"/>
      <c r="T401" s="2"/>
      <c r="U401" s="2"/>
      <c r="V401" s="2"/>
      <c r="W401" s="2"/>
      <c r="X401" s="2"/>
      <c r="Y401" s="2"/>
    </row>
    <row r="402" spans="2:25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P402" s="2"/>
      <c r="Q402" s="2"/>
      <c r="T402" s="2"/>
      <c r="U402" s="2"/>
      <c r="V402" s="2"/>
      <c r="W402" s="2"/>
      <c r="X402" s="2"/>
      <c r="Y402" s="2"/>
    </row>
    <row r="403" spans="2:25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P403" s="2"/>
      <c r="Q403" s="2"/>
      <c r="T403" s="2"/>
      <c r="U403" s="2"/>
      <c r="V403" s="2"/>
      <c r="W403" s="2"/>
      <c r="X403" s="2"/>
      <c r="Y403" s="2"/>
    </row>
    <row r="404" spans="2:25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P404" s="2"/>
      <c r="Q404" s="2"/>
      <c r="T404" s="2"/>
      <c r="U404" s="2"/>
      <c r="V404" s="2"/>
      <c r="W404" s="2"/>
      <c r="X404" s="2"/>
      <c r="Y404" s="2"/>
    </row>
    <row r="405" spans="2:25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P405" s="2"/>
      <c r="Q405" s="2"/>
      <c r="T405" s="2"/>
      <c r="U405" s="2"/>
      <c r="V405" s="2"/>
      <c r="W405" s="2"/>
      <c r="X405" s="2"/>
      <c r="Y405" s="2"/>
    </row>
    <row r="406" spans="2:25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P406" s="2"/>
      <c r="Q406" s="2"/>
      <c r="T406" s="2"/>
      <c r="U406" s="2"/>
      <c r="V406" s="2"/>
      <c r="W406" s="2"/>
      <c r="X406" s="2"/>
      <c r="Y406" s="2"/>
    </row>
    <row r="407" spans="2:25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P407" s="2"/>
      <c r="Q407" s="2"/>
      <c r="T407" s="2"/>
      <c r="U407" s="2"/>
      <c r="V407" s="2"/>
      <c r="W407" s="2"/>
      <c r="X407" s="2"/>
      <c r="Y407" s="2"/>
    </row>
    <row r="408" spans="2:25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P408" s="2"/>
      <c r="Q408" s="2"/>
      <c r="T408" s="2"/>
      <c r="U408" s="2"/>
      <c r="V408" s="2"/>
      <c r="W408" s="2"/>
      <c r="X408" s="2"/>
      <c r="Y408" s="2"/>
    </row>
    <row r="409" spans="2:25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P409" s="2"/>
      <c r="Q409" s="2"/>
      <c r="T409" s="2"/>
      <c r="U409" s="2"/>
      <c r="V409" s="2"/>
      <c r="W409" s="2"/>
      <c r="X409" s="2"/>
      <c r="Y409" s="2"/>
    </row>
    <row r="410" spans="2:25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P410" s="2"/>
      <c r="Q410" s="2"/>
      <c r="T410" s="2"/>
      <c r="U410" s="2"/>
      <c r="V410" s="2"/>
      <c r="W410" s="2"/>
      <c r="X410" s="2"/>
      <c r="Y410" s="2"/>
    </row>
    <row r="411" spans="2:25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P411" s="2"/>
      <c r="Q411" s="2"/>
      <c r="T411" s="2"/>
      <c r="U411" s="2"/>
      <c r="V411" s="2"/>
      <c r="W411" s="2"/>
      <c r="X411" s="2"/>
      <c r="Y411" s="2"/>
    </row>
    <row r="412" spans="2:25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P412" s="2"/>
      <c r="Q412" s="2"/>
      <c r="T412" s="2"/>
      <c r="U412" s="2"/>
      <c r="V412" s="2"/>
      <c r="W412" s="2"/>
      <c r="X412" s="2"/>
      <c r="Y412" s="2"/>
    </row>
    <row r="413" spans="2:25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P413" s="2"/>
      <c r="Q413" s="2"/>
      <c r="T413" s="2"/>
      <c r="U413" s="2"/>
      <c r="V413" s="2"/>
      <c r="W413" s="2"/>
      <c r="X413" s="2"/>
      <c r="Y413" s="2"/>
    </row>
    <row r="414" spans="2:25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P414" s="2"/>
      <c r="Q414" s="2"/>
      <c r="T414" s="2"/>
      <c r="U414" s="2"/>
      <c r="V414" s="2"/>
      <c r="W414" s="2"/>
      <c r="X414" s="2"/>
      <c r="Y414" s="2"/>
    </row>
    <row r="415" spans="2:25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P415" s="2"/>
      <c r="Q415" s="2"/>
      <c r="T415" s="2"/>
      <c r="U415" s="2"/>
      <c r="V415" s="2"/>
      <c r="W415" s="2"/>
      <c r="X415" s="2"/>
      <c r="Y415" s="2"/>
    </row>
    <row r="416" spans="2:25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P416" s="2"/>
      <c r="Q416" s="2"/>
      <c r="T416" s="2"/>
      <c r="U416" s="2"/>
      <c r="V416" s="2"/>
      <c r="W416" s="2"/>
      <c r="X416" s="2"/>
      <c r="Y416" s="2"/>
    </row>
    <row r="417" spans="2:25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P417" s="2"/>
      <c r="Q417" s="2"/>
      <c r="T417" s="2"/>
      <c r="U417" s="2"/>
      <c r="V417" s="2"/>
      <c r="W417" s="2"/>
      <c r="X417" s="2"/>
      <c r="Y417" s="2"/>
    </row>
    <row r="418" spans="2:25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P418" s="2"/>
      <c r="Q418" s="2"/>
      <c r="T418" s="2"/>
      <c r="U418" s="2"/>
      <c r="V418" s="2"/>
      <c r="W418" s="2"/>
      <c r="X418" s="2"/>
      <c r="Y418" s="2"/>
    </row>
    <row r="419" spans="2:25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P419" s="2"/>
      <c r="Q419" s="2"/>
      <c r="T419" s="2"/>
      <c r="U419" s="2"/>
      <c r="V419" s="2"/>
      <c r="W419" s="2"/>
      <c r="X419" s="2"/>
      <c r="Y419" s="2"/>
    </row>
    <row r="420" spans="2:25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P420" s="2"/>
      <c r="Q420" s="2"/>
      <c r="T420" s="2"/>
      <c r="U420" s="2"/>
      <c r="V420" s="2"/>
      <c r="W420" s="2"/>
      <c r="X420" s="2"/>
      <c r="Y420" s="2"/>
    </row>
    <row r="421" spans="2:25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P421" s="2"/>
      <c r="Q421" s="2"/>
      <c r="T421" s="2"/>
      <c r="U421" s="2"/>
      <c r="V421" s="2"/>
      <c r="W421" s="2"/>
      <c r="X421" s="2"/>
      <c r="Y421" s="2"/>
    </row>
    <row r="422" spans="2:25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P422" s="2"/>
      <c r="Q422" s="2"/>
      <c r="T422" s="2"/>
      <c r="U422" s="2"/>
      <c r="V422" s="2"/>
      <c r="W422" s="2"/>
      <c r="X422" s="2"/>
      <c r="Y422" s="2"/>
    </row>
    <row r="423" spans="2:25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P423" s="2"/>
      <c r="Q423" s="2"/>
      <c r="T423" s="2"/>
      <c r="U423" s="2"/>
      <c r="V423" s="2"/>
      <c r="W423" s="2"/>
      <c r="X423" s="2"/>
      <c r="Y423" s="2"/>
    </row>
    <row r="424" spans="2:25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P424" s="2"/>
      <c r="Q424" s="2"/>
      <c r="T424" s="2"/>
      <c r="U424" s="2"/>
      <c r="V424" s="2"/>
      <c r="W424" s="2"/>
      <c r="X424" s="2"/>
      <c r="Y424" s="2"/>
    </row>
    <row r="425" spans="2:25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P425" s="2"/>
      <c r="Q425" s="2"/>
      <c r="T425" s="2"/>
      <c r="U425" s="2"/>
      <c r="V425" s="2"/>
      <c r="W425" s="2"/>
      <c r="X425" s="2"/>
      <c r="Y425" s="2"/>
    </row>
    <row r="426" spans="2:25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P426" s="2"/>
      <c r="Q426" s="2"/>
      <c r="T426" s="2"/>
      <c r="U426" s="2"/>
      <c r="V426" s="2"/>
      <c r="W426" s="2"/>
      <c r="X426" s="2"/>
      <c r="Y426" s="2"/>
    </row>
    <row r="427" spans="2:25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P427" s="2"/>
      <c r="Q427" s="2"/>
      <c r="T427" s="2"/>
      <c r="U427" s="2"/>
      <c r="V427" s="2"/>
      <c r="W427" s="2"/>
      <c r="X427" s="2"/>
      <c r="Y427" s="2"/>
    </row>
    <row r="428" spans="2:25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P428" s="2"/>
      <c r="Q428" s="2"/>
      <c r="T428" s="2"/>
      <c r="U428" s="2"/>
      <c r="V428" s="2"/>
      <c r="W428" s="2"/>
      <c r="X428" s="2"/>
      <c r="Y428" s="2"/>
    </row>
    <row r="429" spans="2:25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P429" s="2"/>
      <c r="Q429" s="2"/>
      <c r="T429" s="2"/>
      <c r="U429" s="2"/>
      <c r="V429" s="2"/>
      <c r="W429" s="2"/>
      <c r="X429" s="2"/>
      <c r="Y429" s="2"/>
    </row>
    <row r="430" spans="2:25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P430" s="2"/>
      <c r="Q430" s="2"/>
      <c r="T430" s="2"/>
      <c r="U430" s="2"/>
      <c r="V430" s="2"/>
      <c r="W430" s="2"/>
      <c r="X430" s="2"/>
      <c r="Y430" s="2"/>
    </row>
    <row r="431" spans="2:25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P431" s="2"/>
      <c r="Q431" s="2"/>
      <c r="T431" s="2"/>
      <c r="U431" s="2"/>
      <c r="V431" s="2"/>
      <c r="W431" s="2"/>
      <c r="X431" s="2"/>
      <c r="Y431" s="2"/>
    </row>
    <row r="432" spans="2:25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P432" s="2"/>
      <c r="Q432" s="2"/>
      <c r="T432" s="2"/>
      <c r="U432" s="2"/>
      <c r="V432" s="2"/>
      <c r="W432" s="2"/>
      <c r="X432" s="2"/>
      <c r="Y432" s="2"/>
    </row>
    <row r="433" spans="2:25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P433" s="2"/>
      <c r="Q433" s="2"/>
      <c r="T433" s="2"/>
      <c r="U433" s="2"/>
      <c r="V433" s="2"/>
      <c r="W433" s="2"/>
      <c r="X433" s="2"/>
      <c r="Y433" s="2"/>
    </row>
    <row r="434" spans="2:25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P434" s="2"/>
      <c r="Q434" s="2"/>
      <c r="T434" s="2"/>
      <c r="U434" s="2"/>
      <c r="V434" s="2"/>
      <c r="W434" s="2"/>
      <c r="X434" s="2"/>
      <c r="Y434" s="2"/>
    </row>
    <row r="435" spans="2:25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P435" s="2"/>
      <c r="Q435" s="2"/>
      <c r="T435" s="2"/>
      <c r="U435" s="2"/>
      <c r="V435" s="2"/>
      <c r="W435" s="2"/>
      <c r="X435" s="2"/>
      <c r="Y435" s="2"/>
    </row>
    <row r="436" spans="2:25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P436" s="2"/>
      <c r="Q436" s="2"/>
      <c r="T436" s="2"/>
      <c r="U436" s="2"/>
      <c r="V436" s="2"/>
      <c r="W436" s="2"/>
      <c r="X436" s="2"/>
      <c r="Y436" s="2"/>
    </row>
    <row r="437" spans="2:25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P437" s="2"/>
      <c r="Q437" s="2"/>
      <c r="T437" s="2"/>
      <c r="U437" s="2"/>
      <c r="V437" s="2"/>
      <c r="W437" s="2"/>
      <c r="X437" s="2"/>
      <c r="Y437" s="2"/>
    </row>
    <row r="438" spans="2:25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P438" s="2"/>
      <c r="Q438" s="2"/>
      <c r="T438" s="2"/>
      <c r="U438" s="2"/>
      <c r="V438" s="2"/>
      <c r="W438" s="2"/>
      <c r="X438" s="2"/>
      <c r="Y438" s="2"/>
    </row>
    <row r="439" spans="2:25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P439" s="2"/>
      <c r="Q439" s="2"/>
      <c r="T439" s="2"/>
      <c r="U439" s="2"/>
      <c r="V439" s="2"/>
      <c r="W439" s="2"/>
      <c r="X439" s="2"/>
      <c r="Y439" s="2"/>
    </row>
    <row r="440" spans="2:25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P440" s="2"/>
      <c r="Q440" s="2"/>
      <c r="T440" s="2"/>
      <c r="U440" s="2"/>
      <c r="V440" s="2"/>
      <c r="W440" s="2"/>
      <c r="X440" s="2"/>
      <c r="Y440" s="2"/>
    </row>
    <row r="441" spans="2:25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P441" s="2"/>
      <c r="Q441" s="2"/>
      <c r="T441" s="2"/>
      <c r="U441" s="2"/>
      <c r="V441" s="2"/>
      <c r="W441" s="2"/>
      <c r="X441" s="2"/>
      <c r="Y441" s="2"/>
    </row>
    <row r="442" spans="2:25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P442" s="2"/>
      <c r="Q442" s="2"/>
      <c r="T442" s="2"/>
      <c r="U442" s="2"/>
      <c r="V442" s="2"/>
      <c r="W442" s="2"/>
      <c r="X442" s="2"/>
      <c r="Y442" s="2"/>
    </row>
    <row r="443" spans="2:25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P443" s="2"/>
      <c r="Q443" s="2"/>
      <c r="T443" s="2"/>
      <c r="U443" s="2"/>
      <c r="V443" s="2"/>
      <c r="W443" s="2"/>
      <c r="X443" s="2"/>
      <c r="Y443" s="2"/>
    </row>
    <row r="444" spans="2:25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P444" s="2"/>
      <c r="Q444" s="2"/>
      <c r="T444" s="2"/>
      <c r="U444" s="2"/>
      <c r="V444" s="2"/>
      <c r="W444" s="2"/>
      <c r="X444" s="2"/>
      <c r="Y444" s="2"/>
    </row>
    <row r="445" spans="2:25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P445" s="2"/>
      <c r="Q445" s="2"/>
      <c r="T445" s="2"/>
      <c r="U445" s="2"/>
      <c r="V445" s="2"/>
      <c r="W445" s="2"/>
      <c r="X445" s="2"/>
      <c r="Y445" s="2"/>
    </row>
    <row r="446" spans="2:25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P446" s="2"/>
      <c r="Q446" s="2"/>
      <c r="T446" s="2"/>
      <c r="U446" s="2"/>
      <c r="V446" s="2"/>
      <c r="W446" s="2"/>
      <c r="X446" s="2"/>
      <c r="Y446" s="2"/>
    </row>
    <row r="447" spans="2:25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P447" s="2"/>
      <c r="Q447" s="2"/>
      <c r="T447" s="2"/>
      <c r="U447" s="2"/>
      <c r="V447" s="2"/>
      <c r="W447" s="2"/>
      <c r="X447" s="2"/>
      <c r="Y447" s="2"/>
    </row>
    <row r="448" spans="2:25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P448" s="2"/>
      <c r="Q448" s="2"/>
      <c r="T448" s="2"/>
      <c r="U448" s="2"/>
      <c r="V448" s="2"/>
      <c r="W448" s="2"/>
      <c r="X448" s="2"/>
      <c r="Y448" s="2"/>
    </row>
    <row r="449" spans="2:25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P449" s="2"/>
      <c r="Q449" s="2"/>
      <c r="T449" s="2"/>
      <c r="U449" s="2"/>
      <c r="V449" s="2"/>
      <c r="W449" s="2"/>
      <c r="X449" s="2"/>
      <c r="Y449" s="2"/>
    </row>
    <row r="450" spans="2:25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P450" s="2"/>
      <c r="Q450" s="2"/>
      <c r="T450" s="2"/>
      <c r="U450" s="2"/>
      <c r="V450" s="2"/>
      <c r="W450" s="2"/>
      <c r="X450" s="2"/>
      <c r="Y450" s="2"/>
    </row>
    <row r="451" spans="2:25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P451" s="2"/>
      <c r="Q451" s="2"/>
      <c r="T451" s="2"/>
      <c r="U451" s="2"/>
      <c r="V451" s="2"/>
      <c r="W451" s="2"/>
      <c r="X451" s="2"/>
      <c r="Y451" s="2"/>
    </row>
    <row r="452" spans="2:25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P452" s="2"/>
      <c r="Q452" s="2"/>
      <c r="T452" s="2"/>
      <c r="U452" s="2"/>
      <c r="V452" s="2"/>
      <c r="W452" s="2"/>
      <c r="X452" s="2"/>
      <c r="Y452" s="2"/>
    </row>
    <row r="453" spans="2:25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P453" s="2"/>
      <c r="Q453" s="2"/>
      <c r="T453" s="2"/>
      <c r="U453" s="2"/>
      <c r="V453" s="2"/>
      <c r="W453" s="2"/>
      <c r="X453" s="2"/>
      <c r="Y453" s="2"/>
    </row>
    <row r="454" spans="2:25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P454" s="2"/>
      <c r="Q454" s="2"/>
      <c r="T454" s="2"/>
      <c r="U454" s="2"/>
      <c r="V454" s="2"/>
      <c r="W454" s="2"/>
      <c r="X454" s="2"/>
      <c r="Y454" s="2"/>
    </row>
    <row r="455" spans="2:25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P455" s="2"/>
      <c r="Q455" s="2"/>
      <c r="T455" s="2"/>
      <c r="U455" s="2"/>
      <c r="V455" s="2"/>
      <c r="W455" s="2"/>
      <c r="X455" s="2"/>
      <c r="Y455" s="2"/>
    </row>
    <row r="456" spans="2:25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P456" s="2"/>
      <c r="Q456" s="2"/>
      <c r="T456" s="2"/>
      <c r="U456" s="2"/>
      <c r="V456" s="2"/>
      <c r="W456" s="2"/>
      <c r="X456" s="2"/>
      <c r="Y456" s="2"/>
    </row>
    <row r="457" spans="2:25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P457" s="2"/>
      <c r="Q457" s="2"/>
      <c r="T457" s="2"/>
      <c r="U457" s="2"/>
      <c r="V457" s="2"/>
      <c r="W457" s="2"/>
      <c r="X457" s="2"/>
      <c r="Y457" s="2"/>
    </row>
    <row r="458" spans="2:25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P458" s="2"/>
      <c r="Q458" s="2"/>
      <c r="T458" s="2"/>
      <c r="U458" s="2"/>
      <c r="V458" s="2"/>
      <c r="W458" s="2"/>
      <c r="X458" s="2"/>
      <c r="Y458" s="2"/>
    </row>
    <row r="459" spans="2:25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P459" s="2"/>
      <c r="Q459" s="2"/>
      <c r="T459" s="2"/>
      <c r="U459" s="2"/>
      <c r="V459" s="2"/>
      <c r="W459" s="2"/>
      <c r="X459" s="2"/>
      <c r="Y459" s="2"/>
    </row>
    <row r="460" spans="2:25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P460" s="2"/>
      <c r="Q460" s="2"/>
      <c r="T460" s="2"/>
      <c r="U460" s="2"/>
      <c r="V460" s="2"/>
      <c r="W460" s="2"/>
      <c r="X460" s="2"/>
      <c r="Y460" s="2"/>
    </row>
    <row r="461" spans="2:25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P461" s="2"/>
      <c r="Q461" s="2"/>
      <c r="T461" s="2"/>
      <c r="U461" s="2"/>
      <c r="V461" s="2"/>
      <c r="W461" s="2"/>
      <c r="X461" s="2"/>
      <c r="Y461" s="2"/>
    </row>
    <row r="462" spans="2:25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P462" s="2"/>
      <c r="Q462" s="2"/>
      <c r="T462" s="2"/>
      <c r="U462" s="2"/>
      <c r="V462" s="2"/>
      <c r="W462" s="2"/>
      <c r="X462" s="2"/>
      <c r="Y462" s="2"/>
    </row>
    <row r="463" spans="2:25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P463" s="2"/>
      <c r="Q463" s="2"/>
      <c r="T463" s="2"/>
      <c r="U463" s="2"/>
      <c r="V463" s="2"/>
      <c r="W463" s="2"/>
      <c r="X463" s="2"/>
      <c r="Y463" s="2"/>
    </row>
    <row r="464" spans="2:25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P464" s="2"/>
      <c r="Q464" s="2"/>
      <c r="T464" s="2"/>
      <c r="U464" s="2"/>
      <c r="V464" s="2"/>
      <c r="W464" s="2"/>
      <c r="X464" s="2"/>
      <c r="Y464" s="2"/>
    </row>
    <row r="465" spans="2:25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P465" s="2"/>
      <c r="Q465" s="2"/>
      <c r="T465" s="2"/>
      <c r="U465" s="2"/>
      <c r="V465" s="2"/>
      <c r="W465" s="2"/>
      <c r="X465" s="2"/>
      <c r="Y465" s="2"/>
    </row>
    <row r="466" spans="2:25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P466" s="2"/>
      <c r="Q466" s="2"/>
      <c r="T466" s="2"/>
      <c r="U466" s="2"/>
      <c r="V466" s="2"/>
      <c r="W466" s="2"/>
      <c r="X466" s="2"/>
      <c r="Y466" s="2"/>
    </row>
    <row r="467" spans="2:25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P467" s="2"/>
      <c r="Q467" s="2"/>
      <c r="T467" s="2"/>
      <c r="U467" s="2"/>
      <c r="V467" s="2"/>
      <c r="W467" s="2"/>
      <c r="X467" s="2"/>
      <c r="Y467" s="2"/>
    </row>
    <row r="468" spans="2:25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P468" s="2"/>
      <c r="Q468" s="2"/>
      <c r="T468" s="2"/>
      <c r="U468" s="2"/>
      <c r="V468" s="2"/>
      <c r="W468" s="2"/>
      <c r="X468" s="2"/>
      <c r="Y468" s="2"/>
    </row>
    <row r="469" spans="2:25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P469" s="2"/>
      <c r="Q469" s="2"/>
      <c r="T469" s="2"/>
      <c r="U469" s="2"/>
      <c r="V469" s="2"/>
      <c r="W469" s="2"/>
      <c r="X469" s="2"/>
      <c r="Y469" s="2"/>
    </row>
    <row r="470" spans="2:25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P470" s="2"/>
      <c r="Q470" s="2"/>
      <c r="T470" s="2"/>
      <c r="U470" s="2"/>
      <c r="V470" s="2"/>
      <c r="W470" s="2"/>
      <c r="X470" s="2"/>
      <c r="Y470" s="2"/>
    </row>
    <row r="471" spans="2:25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P471" s="2"/>
      <c r="Q471" s="2"/>
      <c r="T471" s="2"/>
      <c r="U471" s="2"/>
      <c r="V471" s="2"/>
      <c r="W471" s="2"/>
      <c r="X471" s="2"/>
      <c r="Y471" s="2"/>
    </row>
    <row r="472" spans="2:25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P472" s="2"/>
      <c r="Q472" s="2"/>
      <c r="T472" s="2"/>
      <c r="U472" s="2"/>
      <c r="V472" s="2"/>
      <c r="W472" s="2"/>
      <c r="X472" s="2"/>
      <c r="Y472" s="2"/>
    </row>
    <row r="473" spans="2:25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P473" s="2"/>
      <c r="Q473" s="2"/>
      <c r="T473" s="2"/>
      <c r="U473" s="2"/>
      <c r="V473" s="2"/>
      <c r="W473" s="2"/>
      <c r="X473" s="2"/>
      <c r="Y473" s="2"/>
    </row>
    <row r="474" spans="2:25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P474" s="2"/>
      <c r="Q474" s="2"/>
      <c r="T474" s="2"/>
      <c r="U474" s="2"/>
      <c r="V474" s="2"/>
      <c r="W474" s="2"/>
      <c r="X474" s="2"/>
      <c r="Y474" s="2"/>
    </row>
    <row r="475" spans="2:25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P475" s="2"/>
      <c r="Q475" s="2"/>
      <c r="T475" s="2"/>
      <c r="U475" s="2"/>
      <c r="V475" s="2"/>
      <c r="W475" s="2"/>
      <c r="X475" s="2"/>
      <c r="Y475" s="2"/>
    </row>
    <row r="476" spans="2:25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P476" s="2"/>
      <c r="Q476" s="2"/>
      <c r="T476" s="2"/>
      <c r="U476" s="2"/>
      <c r="V476" s="2"/>
      <c r="W476" s="2"/>
      <c r="X476" s="2"/>
      <c r="Y476" s="2"/>
    </row>
    <row r="477" spans="2:25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P477" s="2"/>
      <c r="Q477" s="2"/>
      <c r="T477" s="2"/>
      <c r="U477" s="2"/>
      <c r="V477" s="2"/>
      <c r="W477" s="2"/>
      <c r="X477" s="2"/>
      <c r="Y477" s="2"/>
    </row>
    <row r="478" spans="2:25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P478" s="2"/>
      <c r="Q478" s="2"/>
      <c r="T478" s="2"/>
      <c r="U478" s="2"/>
      <c r="V478" s="2"/>
      <c r="W478" s="2"/>
      <c r="X478" s="2"/>
      <c r="Y478" s="2"/>
    </row>
    <row r="479" spans="2:25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P479" s="2"/>
      <c r="Q479" s="2"/>
      <c r="T479" s="2"/>
      <c r="U479" s="2"/>
      <c r="V479" s="2"/>
      <c r="W479" s="2"/>
      <c r="X479" s="2"/>
      <c r="Y479" s="2"/>
    </row>
    <row r="480" spans="2:25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P480" s="2"/>
      <c r="Q480" s="2"/>
      <c r="T480" s="2"/>
      <c r="U480" s="2"/>
      <c r="V480" s="2"/>
      <c r="W480" s="2"/>
      <c r="X480" s="2"/>
      <c r="Y480" s="2"/>
    </row>
    <row r="481" spans="2:25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P481" s="2"/>
      <c r="Q481" s="2"/>
      <c r="T481" s="2"/>
      <c r="U481" s="2"/>
      <c r="V481" s="2"/>
      <c r="W481" s="2"/>
      <c r="X481" s="2"/>
      <c r="Y481" s="2"/>
    </row>
    <row r="482" spans="2:25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P482" s="2"/>
      <c r="Q482" s="2"/>
      <c r="T482" s="2"/>
      <c r="U482" s="2"/>
      <c r="V482" s="2"/>
      <c r="W482" s="2"/>
      <c r="X482" s="2"/>
      <c r="Y482" s="2"/>
    </row>
    <row r="483" spans="2:25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P483" s="2"/>
      <c r="Q483" s="2"/>
      <c r="T483" s="2"/>
      <c r="U483" s="2"/>
      <c r="V483" s="2"/>
      <c r="W483" s="2"/>
      <c r="X483" s="2"/>
      <c r="Y483" s="2"/>
    </row>
    <row r="484" spans="2:25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P484" s="2"/>
      <c r="Q484" s="2"/>
      <c r="T484" s="2"/>
      <c r="U484" s="2"/>
      <c r="V484" s="2"/>
      <c r="W484" s="2"/>
      <c r="X484" s="2"/>
      <c r="Y484" s="2"/>
    </row>
    <row r="485" spans="2:25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P485" s="2"/>
      <c r="Q485" s="2"/>
      <c r="T485" s="2"/>
      <c r="U485" s="2"/>
      <c r="V485" s="2"/>
      <c r="W485" s="2"/>
      <c r="X485" s="2"/>
      <c r="Y485" s="2"/>
    </row>
    <row r="486" spans="2:25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P486" s="2"/>
      <c r="Q486" s="2"/>
      <c r="T486" s="2"/>
      <c r="U486" s="2"/>
      <c r="V486" s="2"/>
      <c r="W486" s="2"/>
      <c r="X486" s="2"/>
      <c r="Y486" s="2"/>
    </row>
    <row r="487" spans="2:25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P487" s="2"/>
      <c r="Q487" s="2"/>
      <c r="T487" s="2"/>
      <c r="U487" s="2"/>
      <c r="V487" s="2"/>
      <c r="W487" s="2"/>
      <c r="X487" s="2"/>
      <c r="Y487" s="2"/>
    </row>
    <row r="488" spans="2:25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P488" s="2"/>
      <c r="Q488" s="2"/>
      <c r="T488" s="2"/>
      <c r="U488" s="2"/>
      <c r="V488" s="2"/>
      <c r="W488" s="2"/>
      <c r="X488" s="2"/>
      <c r="Y488" s="2"/>
    </row>
    <row r="489" spans="2:25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P489" s="2"/>
      <c r="Q489" s="2"/>
      <c r="T489" s="2"/>
      <c r="U489" s="2"/>
      <c r="V489" s="2"/>
      <c r="W489" s="2"/>
      <c r="X489" s="2"/>
      <c r="Y489" s="2"/>
    </row>
    <row r="490" spans="2:25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P490" s="2"/>
      <c r="Q490" s="2"/>
      <c r="T490" s="2"/>
      <c r="U490" s="2"/>
      <c r="V490" s="2"/>
      <c r="W490" s="2"/>
      <c r="X490" s="2"/>
      <c r="Y490" s="2"/>
    </row>
    <row r="491" spans="2:25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P491" s="2"/>
      <c r="Q491" s="2"/>
      <c r="T491" s="2"/>
      <c r="U491" s="2"/>
      <c r="V491" s="2"/>
      <c r="W491" s="2"/>
      <c r="X491" s="2"/>
      <c r="Y491" s="2"/>
    </row>
    <row r="492" spans="2:25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P492" s="2"/>
      <c r="Q492" s="2"/>
      <c r="T492" s="2"/>
      <c r="U492" s="2"/>
      <c r="V492" s="2"/>
      <c r="W492" s="2"/>
      <c r="X492" s="2"/>
      <c r="Y492" s="2"/>
    </row>
    <row r="493" spans="2:25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P493" s="2"/>
      <c r="Q493" s="2"/>
      <c r="T493" s="2"/>
      <c r="U493" s="2"/>
      <c r="V493" s="2"/>
      <c r="W493" s="2"/>
      <c r="X493" s="2"/>
      <c r="Y493" s="2"/>
    </row>
    <row r="494" spans="2:25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P494" s="2"/>
      <c r="Q494" s="2"/>
      <c r="T494" s="2"/>
      <c r="U494" s="2"/>
      <c r="V494" s="2"/>
      <c r="W494" s="2"/>
      <c r="X494" s="2"/>
      <c r="Y494" s="2"/>
    </row>
    <row r="495" spans="2:25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P495" s="2"/>
      <c r="Q495" s="2"/>
      <c r="T495" s="2"/>
      <c r="U495" s="2"/>
      <c r="V495" s="2"/>
      <c r="W495" s="2"/>
      <c r="X495" s="2"/>
      <c r="Y495" s="2"/>
    </row>
    <row r="496" spans="2:25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P496" s="2"/>
      <c r="Q496" s="2"/>
      <c r="T496" s="2"/>
      <c r="U496" s="2"/>
      <c r="V496" s="2"/>
      <c r="W496" s="2"/>
      <c r="X496" s="2"/>
      <c r="Y496" s="2"/>
    </row>
    <row r="497" spans="2:25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P497" s="2"/>
      <c r="Q497" s="2"/>
      <c r="T497" s="2"/>
      <c r="U497" s="2"/>
      <c r="V497" s="2"/>
      <c r="W497" s="2"/>
      <c r="X497" s="2"/>
      <c r="Y497" s="2"/>
    </row>
    <row r="498" spans="2:25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P498" s="2"/>
      <c r="Q498" s="2"/>
      <c r="T498" s="2"/>
      <c r="U498" s="2"/>
      <c r="V498" s="2"/>
      <c r="W498" s="2"/>
      <c r="X498" s="2"/>
      <c r="Y498" s="2"/>
    </row>
    <row r="499" spans="2:25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P499" s="2"/>
      <c r="Q499" s="2"/>
      <c r="T499" s="2"/>
      <c r="U499" s="2"/>
      <c r="V499" s="2"/>
      <c r="W499" s="2"/>
      <c r="X499" s="2"/>
      <c r="Y499" s="2"/>
    </row>
    <row r="500" spans="2:25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P500" s="2"/>
      <c r="Q500" s="2"/>
      <c r="T500" s="2"/>
      <c r="U500" s="2"/>
      <c r="V500" s="2"/>
      <c r="W500" s="2"/>
      <c r="X500" s="2"/>
      <c r="Y500" s="2"/>
    </row>
    <row r="501" spans="2:25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P501" s="2"/>
      <c r="Q501" s="2"/>
      <c r="T501" s="2"/>
      <c r="U501" s="2"/>
      <c r="V501" s="2"/>
      <c r="W501" s="2"/>
      <c r="X501" s="2"/>
      <c r="Y501" s="2"/>
    </row>
    <row r="502" spans="2:25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P502" s="2"/>
      <c r="Q502" s="2"/>
      <c r="T502" s="2"/>
      <c r="U502" s="2"/>
      <c r="V502" s="2"/>
      <c r="W502" s="2"/>
      <c r="X502" s="2"/>
      <c r="Y502" s="2"/>
    </row>
    <row r="503" spans="2:25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P503" s="2"/>
      <c r="Q503" s="2"/>
      <c r="T503" s="2"/>
      <c r="U503" s="2"/>
      <c r="V503" s="2"/>
      <c r="W503" s="2"/>
      <c r="X503" s="2"/>
      <c r="Y503" s="2"/>
    </row>
    <row r="504" spans="2:25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P504" s="2"/>
      <c r="Q504" s="2"/>
      <c r="T504" s="2"/>
      <c r="U504" s="2"/>
      <c r="V504" s="2"/>
      <c r="W504" s="2"/>
      <c r="X504" s="2"/>
      <c r="Y504" s="2"/>
    </row>
    <row r="505" spans="2:25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P505" s="2"/>
      <c r="Q505" s="2"/>
      <c r="T505" s="2"/>
      <c r="U505" s="2"/>
      <c r="V505" s="2"/>
      <c r="W505" s="2"/>
      <c r="X505" s="2"/>
      <c r="Y505" s="2"/>
    </row>
    <row r="506" spans="2:25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P506" s="2"/>
      <c r="Q506" s="2"/>
      <c r="T506" s="2"/>
      <c r="U506" s="2"/>
      <c r="V506" s="2"/>
      <c r="W506" s="2"/>
      <c r="X506" s="2"/>
      <c r="Y506" s="2"/>
    </row>
    <row r="507" spans="2:25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P507" s="2"/>
      <c r="Q507" s="2"/>
      <c r="T507" s="2"/>
      <c r="U507" s="2"/>
      <c r="V507" s="2"/>
      <c r="W507" s="2"/>
      <c r="X507" s="2"/>
      <c r="Y507" s="2"/>
    </row>
    <row r="508" spans="2:25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P508" s="2"/>
      <c r="Q508" s="2"/>
      <c r="T508" s="2"/>
      <c r="U508" s="2"/>
      <c r="V508" s="2"/>
      <c r="W508" s="2"/>
      <c r="X508" s="2"/>
      <c r="Y508" s="2"/>
    </row>
    <row r="509" spans="2:25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P509" s="2"/>
      <c r="Q509" s="2"/>
      <c r="T509" s="2"/>
      <c r="U509" s="2"/>
      <c r="V509" s="2"/>
      <c r="W509" s="2"/>
      <c r="X509" s="2"/>
      <c r="Y509" s="2"/>
    </row>
    <row r="510" spans="2:25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P510" s="2"/>
      <c r="Q510" s="2"/>
      <c r="T510" s="2"/>
      <c r="U510" s="2"/>
      <c r="V510" s="2"/>
      <c r="W510" s="2"/>
      <c r="X510" s="2"/>
      <c r="Y510" s="2"/>
    </row>
    <row r="511" spans="2:25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P511" s="2"/>
      <c r="Q511" s="2"/>
      <c r="T511" s="2"/>
      <c r="U511" s="2"/>
      <c r="V511" s="2"/>
      <c r="W511" s="2"/>
      <c r="X511" s="2"/>
      <c r="Y511" s="2"/>
    </row>
    <row r="512" spans="2:25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P512" s="2"/>
      <c r="Q512" s="2"/>
      <c r="T512" s="2"/>
      <c r="U512" s="2"/>
      <c r="V512" s="2"/>
      <c r="W512" s="2"/>
      <c r="X512" s="2"/>
      <c r="Y512" s="2"/>
    </row>
    <row r="513" spans="2:25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P513" s="2"/>
      <c r="Q513" s="2"/>
      <c r="T513" s="2"/>
      <c r="U513" s="2"/>
      <c r="V513" s="2"/>
      <c r="W513" s="2"/>
      <c r="X513" s="2"/>
      <c r="Y513" s="2"/>
    </row>
    <row r="514" spans="2:25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P514" s="2"/>
      <c r="Q514" s="2"/>
      <c r="T514" s="2"/>
      <c r="U514" s="2"/>
      <c r="V514" s="2"/>
      <c r="W514" s="2"/>
      <c r="X514" s="2"/>
      <c r="Y514" s="2"/>
    </row>
    <row r="515" spans="2:25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P515" s="2"/>
      <c r="Q515" s="2"/>
      <c r="T515" s="2"/>
      <c r="U515" s="2"/>
      <c r="V515" s="2"/>
      <c r="W515" s="2"/>
      <c r="X515" s="2"/>
      <c r="Y515" s="2"/>
    </row>
    <row r="516" spans="2:25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P516" s="2"/>
      <c r="Q516" s="2"/>
      <c r="T516" s="2"/>
      <c r="U516" s="2"/>
      <c r="V516" s="2"/>
      <c r="W516" s="2"/>
      <c r="X516" s="2"/>
      <c r="Y516" s="2"/>
    </row>
    <row r="517" spans="2:25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P517" s="2"/>
      <c r="Q517" s="2"/>
      <c r="T517" s="2"/>
      <c r="U517" s="2"/>
      <c r="V517" s="2"/>
      <c r="W517" s="2"/>
      <c r="X517" s="2"/>
      <c r="Y517" s="2"/>
    </row>
    <row r="518" spans="2:25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P518" s="2"/>
      <c r="Q518" s="2"/>
      <c r="T518" s="2"/>
      <c r="U518" s="2"/>
      <c r="V518" s="2"/>
      <c r="W518" s="2"/>
      <c r="X518" s="2"/>
      <c r="Y518" s="2"/>
    </row>
    <row r="519" spans="2:25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P519" s="2"/>
      <c r="Q519" s="2"/>
      <c r="T519" s="2"/>
      <c r="U519" s="2"/>
      <c r="V519" s="2"/>
      <c r="W519" s="2"/>
      <c r="X519" s="2"/>
      <c r="Y519" s="2"/>
    </row>
    <row r="520" spans="2:25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P520" s="2"/>
      <c r="Q520" s="2"/>
      <c r="T520" s="2"/>
      <c r="U520" s="2"/>
      <c r="V520" s="2"/>
      <c r="W520" s="2"/>
      <c r="X520" s="2"/>
      <c r="Y520" s="2"/>
    </row>
    <row r="521" spans="2:25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P521" s="2"/>
      <c r="Q521" s="2"/>
      <c r="T521" s="2"/>
      <c r="U521" s="2"/>
      <c r="V521" s="2"/>
      <c r="W521" s="2"/>
      <c r="X521" s="2"/>
      <c r="Y521" s="2"/>
    </row>
    <row r="522" spans="2:25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P522" s="2"/>
      <c r="Q522" s="2"/>
      <c r="T522" s="2"/>
      <c r="U522" s="2"/>
      <c r="V522" s="2"/>
      <c r="W522" s="2"/>
      <c r="X522" s="2"/>
      <c r="Y522" s="2"/>
    </row>
    <row r="523" spans="2:25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P523" s="2"/>
      <c r="Q523" s="2"/>
      <c r="T523" s="2"/>
      <c r="U523" s="2"/>
      <c r="V523" s="2"/>
      <c r="W523" s="2"/>
      <c r="X523" s="2"/>
      <c r="Y523" s="2"/>
    </row>
    <row r="524" spans="2:25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P524" s="2"/>
      <c r="Q524" s="2"/>
      <c r="T524" s="2"/>
      <c r="U524" s="2"/>
      <c r="V524" s="2"/>
      <c r="W524" s="2"/>
      <c r="X524" s="2"/>
      <c r="Y524" s="2"/>
    </row>
    <row r="525" spans="2:25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P525" s="2"/>
      <c r="Q525" s="2"/>
      <c r="T525" s="2"/>
      <c r="U525" s="2"/>
      <c r="V525" s="2"/>
      <c r="W525" s="2"/>
      <c r="X525" s="2"/>
      <c r="Y525" s="2"/>
    </row>
    <row r="526" spans="2:25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P526" s="2"/>
      <c r="Q526" s="2"/>
      <c r="T526" s="2"/>
      <c r="U526" s="2"/>
      <c r="V526" s="2"/>
      <c r="W526" s="2"/>
      <c r="X526" s="2"/>
      <c r="Y526" s="2"/>
    </row>
    <row r="527" spans="2:25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P527" s="2"/>
      <c r="Q527" s="2"/>
      <c r="T527" s="2"/>
      <c r="U527" s="2"/>
      <c r="V527" s="2"/>
      <c r="W527" s="2"/>
      <c r="X527" s="2"/>
      <c r="Y527" s="2"/>
    </row>
    <row r="528" spans="2:25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P528" s="2"/>
      <c r="Q528" s="2"/>
      <c r="T528" s="2"/>
      <c r="U528" s="2"/>
      <c r="V528" s="2"/>
      <c r="W528" s="2"/>
      <c r="X528" s="2"/>
      <c r="Y528" s="2"/>
    </row>
    <row r="529" spans="2:25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P529" s="2"/>
      <c r="Q529" s="2"/>
      <c r="T529" s="2"/>
      <c r="U529" s="2"/>
      <c r="V529" s="2"/>
      <c r="W529" s="2"/>
      <c r="X529" s="2"/>
      <c r="Y529" s="2"/>
    </row>
    <row r="530" spans="2:25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P530" s="2"/>
      <c r="Q530" s="2"/>
      <c r="T530" s="2"/>
      <c r="U530" s="2"/>
      <c r="V530" s="2"/>
      <c r="W530" s="2"/>
      <c r="X530" s="2"/>
      <c r="Y530" s="2"/>
    </row>
    <row r="531" spans="2:25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P531" s="2"/>
      <c r="Q531" s="2"/>
      <c r="T531" s="2"/>
      <c r="U531" s="2"/>
      <c r="V531" s="2"/>
      <c r="W531" s="2"/>
      <c r="X531" s="2"/>
      <c r="Y531" s="2"/>
    </row>
    <row r="532" spans="2:25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P532" s="2"/>
      <c r="Q532" s="2"/>
      <c r="T532" s="2"/>
      <c r="U532" s="2"/>
      <c r="V532" s="2"/>
      <c r="W532" s="2"/>
      <c r="X532" s="2"/>
      <c r="Y532" s="2"/>
    </row>
    <row r="533" spans="2:25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P533" s="2"/>
      <c r="Q533" s="2"/>
      <c r="T533" s="2"/>
      <c r="U533" s="2"/>
      <c r="V533" s="2"/>
      <c r="W533" s="2"/>
      <c r="X533" s="2"/>
      <c r="Y533" s="2"/>
    </row>
    <row r="534" spans="2:25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P534" s="2"/>
      <c r="Q534" s="2"/>
      <c r="T534" s="2"/>
      <c r="U534" s="2"/>
      <c r="V534" s="2"/>
      <c r="W534" s="2"/>
      <c r="X534" s="2"/>
      <c r="Y534" s="2"/>
    </row>
    <row r="535" spans="2:25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P535" s="2"/>
      <c r="Q535" s="2"/>
      <c r="T535" s="2"/>
      <c r="U535" s="2"/>
      <c r="V535" s="2"/>
      <c r="W535" s="2"/>
      <c r="X535" s="2"/>
      <c r="Y535" s="2"/>
    </row>
    <row r="536" spans="2:25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P536" s="2"/>
      <c r="Q536" s="2"/>
      <c r="T536" s="2"/>
      <c r="U536" s="2"/>
      <c r="V536" s="2"/>
      <c r="W536" s="2"/>
      <c r="X536" s="2"/>
      <c r="Y536" s="2"/>
    </row>
    <row r="537" spans="2:25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P537" s="2"/>
      <c r="Q537" s="2"/>
      <c r="T537" s="2"/>
      <c r="U537" s="2"/>
      <c r="V537" s="2"/>
      <c r="W537" s="2"/>
      <c r="X537" s="2"/>
      <c r="Y537" s="2"/>
    </row>
    <row r="538" spans="2:25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P538" s="2"/>
      <c r="Q538" s="2"/>
      <c r="T538" s="2"/>
      <c r="U538" s="2"/>
      <c r="V538" s="2"/>
      <c r="W538" s="2"/>
      <c r="X538" s="2"/>
      <c r="Y538" s="2"/>
    </row>
    <row r="539" spans="2:25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P539" s="2"/>
      <c r="Q539" s="2"/>
      <c r="T539" s="2"/>
      <c r="U539" s="2"/>
      <c r="V539" s="2"/>
      <c r="W539" s="2"/>
      <c r="X539" s="2"/>
      <c r="Y539" s="2"/>
    </row>
    <row r="540" spans="2:25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P540" s="2"/>
      <c r="Q540" s="2"/>
      <c r="T540" s="2"/>
      <c r="U540" s="2"/>
      <c r="V540" s="2"/>
      <c r="W540" s="2"/>
      <c r="X540" s="2"/>
      <c r="Y540" s="2"/>
    </row>
    <row r="541" spans="2:25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P541" s="2"/>
      <c r="Q541" s="2"/>
      <c r="T541" s="2"/>
      <c r="U541" s="2"/>
      <c r="V541" s="2"/>
      <c r="W541" s="2"/>
      <c r="X541" s="2"/>
      <c r="Y541" s="2"/>
    </row>
    <row r="542" spans="2:25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P542" s="2"/>
      <c r="Q542" s="2"/>
      <c r="T542" s="2"/>
      <c r="U542" s="2"/>
      <c r="V542" s="2"/>
      <c r="W542" s="2"/>
      <c r="X542" s="2"/>
      <c r="Y542" s="2"/>
    </row>
    <row r="543" spans="2:25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P543" s="2"/>
      <c r="Q543" s="2"/>
      <c r="T543" s="2"/>
      <c r="U543" s="2"/>
      <c r="V543" s="2"/>
      <c r="W543" s="2"/>
      <c r="X543" s="2"/>
      <c r="Y543" s="2"/>
    </row>
    <row r="544" spans="2:25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P544" s="2"/>
      <c r="Q544" s="2"/>
      <c r="T544" s="2"/>
      <c r="U544" s="2"/>
      <c r="V544" s="2"/>
      <c r="W544" s="2"/>
      <c r="X544" s="2"/>
      <c r="Y544" s="2"/>
    </row>
    <row r="545" spans="2:25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P545" s="2"/>
      <c r="Q545" s="2"/>
      <c r="T545" s="2"/>
      <c r="U545" s="2"/>
      <c r="V545" s="2"/>
      <c r="W545" s="2"/>
      <c r="X545" s="2"/>
      <c r="Y545" s="2"/>
    </row>
    <row r="546" spans="2:25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P546" s="2"/>
      <c r="Q546" s="2"/>
      <c r="T546" s="2"/>
      <c r="U546" s="2"/>
      <c r="V546" s="2"/>
      <c r="W546" s="2"/>
      <c r="X546" s="2"/>
      <c r="Y546" s="2"/>
    </row>
    <row r="547" spans="2:25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P547" s="2"/>
      <c r="Q547" s="2"/>
      <c r="T547" s="2"/>
      <c r="U547" s="2"/>
      <c r="V547" s="2"/>
      <c r="W547" s="2"/>
      <c r="X547" s="2"/>
      <c r="Y547" s="2"/>
    </row>
    <row r="548" spans="2:25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P548" s="2"/>
      <c r="Q548" s="2"/>
      <c r="T548" s="2"/>
      <c r="U548" s="2"/>
      <c r="V548" s="2"/>
      <c r="W548" s="2"/>
      <c r="X548" s="2"/>
      <c r="Y548" s="2"/>
    </row>
    <row r="549" spans="2:25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P549" s="2"/>
      <c r="Q549" s="2"/>
      <c r="T549" s="2"/>
      <c r="U549" s="2"/>
      <c r="V549" s="2"/>
      <c r="W549" s="2"/>
      <c r="X549" s="2"/>
      <c r="Y549" s="2"/>
    </row>
    <row r="550" spans="2:25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P550" s="2"/>
      <c r="Q550" s="2"/>
      <c r="T550" s="2"/>
      <c r="U550" s="2"/>
      <c r="V550" s="2"/>
      <c r="W550" s="2"/>
      <c r="X550" s="2"/>
      <c r="Y550" s="2"/>
    </row>
    <row r="551" spans="2:25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P551" s="2"/>
      <c r="Q551" s="2"/>
      <c r="T551" s="2"/>
      <c r="U551" s="2"/>
      <c r="V551" s="2"/>
      <c r="W551" s="2"/>
      <c r="X551" s="2"/>
      <c r="Y551" s="2"/>
    </row>
    <row r="552" spans="2:25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P552" s="2"/>
      <c r="Q552" s="2"/>
      <c r="T552" s="2"/>
      <c r="U552" s="2"/>
      <c r="V552" s="2"/>
      <c r="W552" s="2"/>
      <c r="X552" s="2"/>
      <c r="Y552" s="2"/>
    </row>
    <row r="553" spans="2:25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P553" s="2"/>
      <c r="Q553" s="2"/>
      <c r="T553" s="2"/>
      <c r="U553" s="2"/>
      <c r="V553" s="2"/>
      <c r="W553" s="2"/>
      <c r="X553" s="2"/>
      <c r="Y553" s="2"/>
    </row>
    <row r="554" spans="2:25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P554" s="2"/>
      <c r="Q554" s="2"/>
      <c r="T554" s="2"/>
      <c r="U554" s="2"/>
      <c r="V554" s="2"/>
      <c r="W554" s="2"/>
      <c r="X554" s="2"/>
      <c r="Y554" s="2"/>
    </row>
    <row r="555" spans="2:25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P555" s="2"/>
      <c r="Q555" s="2"/>
      <c r="T555" s="2"/>
      <c r="U555" s="2"/>
      <c r="V555" s="2"/>
      <c r="W555" s="2"/>
      <c r="X555" s="2"/>
      <c r="Y555" s="2"/>
    </row>
    <row r="556" spans="2:25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P556" s="2"/>
      <c r="Q556" s="2"/>
      <c r="T556" s="2"/>
      <c r="U556" s="2"/>
      <c r="V556" s="2"/>
      <c r="W556" s="2"/>
      <c r="X556" s="2"/>
      <c r="Y556" s="2"/>
    </row>
    <row r="557" spans="2:25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P557" s="2"/>
      <c r="Q557" s="2"/>
      <c r="T557" s="2"/>
      <c r="U557" s="2"/>
      <c r="V557" s="2"/>
      <c r="W557" s="2"/>
      <c r="X557" s="2"/>
      <c r="Y557" s="2"/>
    </row>
    <row r="558" spans="2:25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P558" s="2"/>
      <c r="Q558" s="2"/>
      <c r="T558" s="2"/>
      <c r="U558" s="2"/>
      <c r="V558" s="2"/>
      <c r="W558" s="2"/>
      <c r="X558" s="2"/>
      <c r="Y558" s="2"/>
    </row>
    <row r="559" spans="2:25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P559" s="2"/>
      <c r="Q559" s="2"/>
      <c r="T559" s="2"/>
      <c r="U559" s="2"/>
      <c r="V559" s="2"/>
      <c r="W559" s="2"/>
      <c r="X559" s="2"/>
      <c r="Y559" s="2"/>
    </row>
    <row r="560" spans="2:25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P560" s="2"/>
      <c r="Q560" s="2"/>
      <c r="T560" s="2"/>
      <c r="U560" s="2"/>
      <c r="V560" s="2"/>
      <c r="W560" s="2"/>
      <c r="X560" s="2"/>
      <c r="Y560" s="2"/>
    </row>
    <row r="561" spans="2:25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P561" s="2"/>
      <c r="Q561" s="2"/>
      <c r="T561" s="2"/>
      <c r="U561" s="2"/>
      <c r="V561" s="2"/>
      <c r="W561" s="2"/>
      <c r="X561" s="2"/>
      <c r="Y561" s="2"/>
    </row>
    <row r="562" spans="2:25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P562" s="2"/>
      <c r="Q562" s="2"/>
      <c r="T562" s="2"/>
      <c r="U562" s="2"/>
      <c r="V562" s="2"/>
      <c r="W562" s="2"/>
      <c r="X562" s="2"/>
      <c r="Y562" s="2"/>
    </row>
    <row r="563" spans="2:25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P563" s="2"/>
      <c r="Q563" s="2"/>
      <c r="T563" s="2"/>
      <c r="U563" s="2"/>
      <c r="V563" s="2"/>
      <c r="W563" s="2"/>
      <c r="X563" s="2"/>
      <c r="Y563" s="2"/>
    </row>
    <row r="564" spans="2:25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P564" s="2"/>
      <c r="Q564" s="2"/>
      <c r="T564" s="2"/>
      <c r="U564" s="2"/>
      <c r="V564" s="2"/>
      <c r="W564" s="2"/>
      <c r="X564" s="2"/>
      <c r="Y564" s="2"/>
    </row>
    <row r="565" spans="2:25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P565" s="2"/>
      <c r="Q565" s="2"/>
      <c r="T565" s="2"/>
      <c r="U565" s="2"/>
      <c r="V565" s="2"/>
      <c r="W565" s="2"/>
      <c r="X565" s="2"/>
      <c r="Y565" s="2"/>
    </row>
    <row r="566" spans="2:25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P566" s="2"/>
      <c r="Q566" s="2"/>
      <c r="T566" s="2"/>
      <c r="U566" s="2"/>
      <c r="V566" s="2"/>
      <c r="W566" s="2"/>
      <c r="X566" s="2"/>
      <c r="Y566" s="2"/>
    </row>
    <row r="567" spans="2:25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P567" s="2"/>
      <c r="Q567" s="2"/>
      <c r="T567" s="2"/>
      <c r="U567" s="2"/>
      <c r="V567" s="2"/>
      <c r="W567" s="2"/>
      <c r="X567" s="2"/>
      <c r="Y567" s="2"/>
    </row>
    <row r="568" spans="2:25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P568" s="2"/>
      <c r="Q568" s="2"/>
      <c r="T568" s="2"/>
      <c r="U568" s="2"/>
      <c r="V568" s="2"/>
      <c r="W568" s="2"/>
      <c r="X568" s="2"/>
      <c r="Y568" s="2"/>
    </row>
    <row r="569" spans="2:25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P569" s="2"/>
      <c r="Q569" s="2"/>
      <c r="T569" s="2"/>
      <c r="U569" s="2"/>
      <c r="V569" s="2"/>
      <c r="W569" s="2"/>
      <c r="X569" s="2"/>
      <c r="Y569" s="2"/>
    </row>
    <row r="570" spans="2:25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P570" s="2"/>
      <c r="Q570" s="2"/>
      <c r="T570" s="2"/>
      <c r="U570" s="2"/>
      <c r="V570" s="2"/>
      <c r="W570" s="2"/>
      <c r="X570" s="2"/>
      <c r="Y570" s="2"/>
    </row>
    <row r="571" spans="2:25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P571" s="2"/>
      <c r="Q571" s="2"/>
      <c r="T571" s="2"/>
      <c r="U571" s="2"/>
      <c r="V571" s="2"/>
      <c r="W571" s="2"/>
      <c r="X571" s="2"/>
      <c r="Y571" s="2"/>
    </row>
    <row r="572" spans="2:25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P572" s="2"/>
      <c r="Q572" s="2"/>
      <c r="T572" s="2"/>
      <c r="U572" s="2"/>
      <c r="V572" s="2"/>
      <c r="W572" s="2"/>
      <c r="X572" s="2"/>
      <c r="Y572" s="2"/>
    </row>
    <row r="573" spans="2:25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P573" s="2"/>
      <c r="Q573" s="2"/>
      <c r="T573" s="2"/>
      <c r="U573" s="2"/>
      <c r="V573" s="2"/>
      <c r="W573" s="2"/>
      <c r="X573" s="2"/>
      <c r="Y573" s="2"/>
    </row>
    <row r="574" spans="2:25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P574" s="2"/>
      <c r="Q574" s="2"/>
      <c r="T574" s="2"/>
      <c r="U574" s="2"/>
      <c r="V574" s="2"/>
      <c r="W574" s="2"/>
      <c r="X574" s="2"/>
      <c r="Y574" s="2"/>
    </row>
    <row r="575" spans="2:25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P575" s="2"/>
      <c r="Q575" s="2"/>
      <c r="T575" s="2"/>
      <c r="U575" s="2"/>
      <c r="V575" s="2"/>
      <c r="W575" s="2"/>
      <c r="X575" s="2"/>
      <c r="Y575" s="2"/>
    </row>
    <row r="576" spans="2:25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P576" s="2"/>
      <c r="Q576" s="2"/>
      <c r="T576" s="2"/>
      <c r="U576" s="2"/>
      <c r="V576" s="2"/>
      <c r="W576" s="2"/>
      <c r="X576" s="2"/>
      <c r="Y576" s="2"/>
    </row>
    <row r="577" spans="2:25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P577" s="2"/>
      <c r="Q577" s="2"/>
      <c r="T577" s="2"/>
      <c r="U577" s="2"/>
      <c r="V577" s="2"/>
      <c r="W577" s="2"/>
      <c r="X577" s="2"/>
      <c r="Y577" s="2"/>
    </row>
    <row r="578" spans="2:25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P578" s="2"/>
      <c r="Q578" s="2"/>
      <c r="T578" s="2"/>
      <c r="U578" s="2"/>
      <c r="V578" s="2"/>
      <c r="W578" s="2"/>
      <c r="X578" s="2"/>
      <c r="Y578" s="2"/>
    </row>
    <row r="579" spans="2:25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P579" s="2"/>
      <c r="Q579" s="2"/>
      <c r="T579" s="2"/>
      <c r="U579" s="2"/>
      <c r="V579" s="2"/>
      <c r="W579" s="2"/>
      <c r="X579" s="2"/>
      <c r="Y579" s="2"/>
    </row>
    <row r="580" spans="2:25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P580" s="2"/>
      <c r="Q580" s="2"/>
      <c r="T580" s="2"/>
      <c r="U580" s="2"/>
      <c r="V580" s="2"/>
      <c r="W580" s="2"/>
      <c r="X580" s="2"/>
      <c r="Y580" s="2"/>
    </row>
    <row r="581" spans="2:25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P581" s="2"/>
      <c r="Q581" s="2"/>
      <c r="T581" s="2"/>
      <c r="U581" s="2"/>
      <c r="V581" s="2"/>
      <c r="W581" s="2"/>
      <c r="X581" s="2"/>
      <c r="Y581" s="2"/>
    </row>
    <row r="582" spans="2:25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P582" s="2"/>
      <c r="Q582" s="2"/>
      <c r="T582" s="2"/>
      <c r="U582" s="2"/>
      <c r="V582" s="2"/>
      <c r="W582" s="2"/>
      <c r="X582" s="2"/>
      <c r="Y582" s="2"/>
    </row>
    <row r="583" spans="2:25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P583" s="2"/>
      <c r="Q583" s="2"/>
      <c r="T583" s="2"/>
      <c r="U583" s="2"/>
      <c r="V583" s="2"/>
      <c r="W583" s="2"/>
      <c r="X583" s="2"/>
      <c r="Y583" s="2"/>
    </row>
    <row r="584" spans="2:25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P584" s="2"/>
      <c r="Q584" s="2"/>
      <c r="T584" s="2"/>
      <c r="U584" s="2"/>
      <c r="V584" s="2"/>
      <c r="W584" s="2"/>
      <c r="X584" s="2"/>
      <c r="Y584" s="2"/>
    </row>
    <row r="585" spans="2:25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P585" s="2"/>
      <c r="Q585" s="2"/>
      <c r="T585" s="2"/>
      <c r="U585" s="2"/>
      <c r="V585" s="2"/>
      <c r="W585" s="2"/>
      <c r="X585" s="2"/>
      <c r="Y585" s="2"/>
    </row>
    <row r="586" spans="2:25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P586" s="2"/>
      <c r="Q586" s="2"/>
      <c r="T586" s="2"/>
      <c r="U586" s="2"/>
      <c r="V586" s="2"/>
      <c r="W586" s="2"/>
      <c r="X586" s="2"/>
      <c r="Y586" s="2"/>
    </row>
    <row r="587" spans="2:25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P587" s="2"/>
      <c r="Q587" s="2"/>
      <c r="T587" s="2"/>
      <c r="U587" s="2"/>
      <c r="V587" s="2"/>
      <c r="W587" s="2"/>
      <c r="X587" s="2"/>
      <c r="Y587" s="2"/>
    </row>
    <row r="588" spans="2:25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P588" s="2"/>
      <c r="Q588" s="2"/>
      <c r="T588" s="2"/>
      <c r="U588" s="2"/>
      <c r="V588" s="2"/>
      <c r="W588" s="2"/>
      <c r="X588" s="2"/>
      <c r="Y588" s="2"/>
    </row>
    <row r="589" spans="2:25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P589" s="2"/>
      <c r="Q589" s="2"/>
      <c r="T589" s="2"/>
      <c r="U589" s="2"/>
      <c r="V589" s="2"/>
      <c r="W589" s="2"/>
      <c r="X589" s="2"/>
      <c r="Y589" s="2"/>
    </row>
    <row r="590" spans="2:25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P590" s="2"/>
      <c r="Q590" s="2"/>
      <c r="T590" s="2"/>
      <c r="U590" s="2"/>
      <c r="V590" s="2"/>
      <c r="W590" s="2"/>
      <c r="X590" s="2"/>
      <c r="Y590" s="2"/>
    </row>
    <row r="591" spans="2:25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P591" s="2"/>
      <c r="Q591" s="2"/>
      <c r="T591" s="2"/>
      <c r="U591" s="2"/>
      <c r="V591" s="2"/>
      <c r="W591" s="2"/>
      <c r="X591" s="2"/>
      <c r="Y591" s="2"/>
    </row>
    <row r="592" spans="2:25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P592" s="2"/>
      <c r="Q592" s="2"/>
      <c r="T592" s="2"/>
      <c r="U592" s="2"/>
      <c r="V592" s="2"/>
      <c r="W592" s="2"/>
      <c r="X592" s="2"/>
      <c r="Y592" s="2"/>
    </row>
    <row r="593" spans="2:25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P593" s="2"/>
      <c r="Q593" s="2"/>
      <c r="T593" s="2"/>
      <c r="U593" s="2"/>
      <c r="V593" s="2"/>
      <c r="W593" s="2"/>
      <c r="X593" s="2"/>
      <c r="Y593" s="2"/>
    </row>
    <row r="594" spans="2:25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P594" s="2"/>
      <c r="Q594" s="2"/>
      <c r="T594" s="2"/>
      <c r="U594" s="2"/>
      <c r="V594" s="2"/>
      <c r="W594" s="2"/>
      <c r="X594" s="2"/>
      <c r="Y594" s="2"/>
    </row>
    <row r="595" spans="2:25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P595" s="2"/>
      <c r="Q595" s="2"/>
      <c r="T595" s="2"/>
      <c r="U595" s="2"/>
      <c r="V595" s="2"/>
      <c r="W595" s="2"/>
      <c r="X595" s="2"/>
      <c r="Y595" s="2"/>
    </row>
    <row r="596" spans="2:25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P596" s="2"/>
      <c r="Q596" s="2"/>
      <c r="T596" s="2"/>
      <c r="U596" s="2"/>
      <c r="V596" s="2"/>
      <c r="W596" s="2"/>
      <c r="X596" s="2"/>
      <c r="Y596" s="2"/>
    </row>
    <row r="597" spans="2:25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P597" s="2"/>
      <c r="Q597" s="2"/>
      <c r="T597" s="2"/>
      <c r="U597" s="2"/>
      <c r="V597" s="2"/>
      <c r="W597" s="2"/>
      <c r="X597" s="2"/>
      <c r="Y597" s="2"/>
    </row>
    <row r="598" spans="2:25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P598" s="2"/>
      <c r="Q598" s="2"/>
      <c r="T598" s="2"/>
      <c r="U598" s="2"/>
      <c r="V598" s="2"/>
      <c r="W598" s="2"/>
      <c r="X598" s="2"/>
      <c r="Y598" s="2"/>
    </row>
    <row r="599" spans="2:25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P599" s="2"/>
      <c r="Q599" s="2"/>
      <c r="T599" s="2"/>
      <c r="U599" s="2"/>
      <c r="V599" s="2"/>
      <c r="W599" s="2"/>
      <c r="X599" s="2"/>
      <c r="Y599" s="2"/>
    </row>
    <row r="600" spans="2:25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P600" s="2"/>
      <c r="Q600" s="2"/>
      <c r="T600" s="2"/>
      <c r="U600" s="2"/>
      <c r="V600" s="2"/>
      <c r="W600" s="2"/>
      <c r="X600" s="2"/>
      <c r="Y600" s="2"/>
    </row>
    <row r="601" spans="2:25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P601" s="2"/>
      <c r="Q601" s="2"/>
      <c r="T601" s="2"/>
      <c r="U601" s="2"/>
      <c r="V601" s="2"/>
      <c r="W601" s="2"/>
      <c r="X601" s="2"/>
      <c r="Y601" s="2"/>
    </row>
    <row r="602" spans="2:25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P602" s="2"/>
      <c r="Q602" s="2"/>
      <c r="T602" s="2"/>
      <c r="U602" s="2"/>
      <c r="V602" s="2"/>
      <c r="W602" s="2"/>
      <c r="X602" s="2"/>
      <c r="Y602" s="2"/>
    </row>
    <row r="603" spans="2:25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P603" s="2"/>
      <c r="Q603" s="2"/>
      <c r="T603" s="2"/>
      <c r="U603" s="2"/>
      <c r="V603" s="2"/>
      <c r="W603" s="2"/>
      <c r="X603" s="2"/>
      <c r="Y603" s="2"/>
    </row>
    <row r="604" spans="2:25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P604" s="2"/>
      <c r="Q604" s="2"/>
      <c r="T604" s="2"/>
      <c r="U604" s="2"/>
      <c r="V604" s="2"/>
      <c r="W604" s="2"/>
      <c r="X604" s="2"/>
      <c r="Y604" s="2"/>
    </row>
    <row r="605" spans="2:25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P605" s="2"/>
      <c r="Q605" s="2"/>
      <c r="T605" s="2"/>
      <c r="U605" s="2"/>
      <c r="V605" s="2"/>
      <c r="W605" s="2"/>
      <c r="X605" s="2"/>
      <c r="Y605" s="2"/>
    </row>
    <row r="606" spans="2:25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P606" s="2"/>
      <c r="Q606" s="2"/>
      <c r="T606" s="2"/>
      <c r="U606" s="2"/>
      <c r="V606" s="2"/>
      <c r="W606" s="2"/>
      <c r="X606" s="2"/>
      <c r="Y606" s="2"/>
    </row>
    <row r="607" spans="2:25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P607" s="2"/>
      <c r="Q607" s="2"/>
      <c r="T607" s="2"/>
      <c r="U607" s="2"/>
      <c r="V607" s="2"/>
      <c r="W607" s="2"/>
      <c r="X607" s="2"/>
      <c r="Y607" s="2"/>
    </row>
    <row r="608" spans="2:25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P608" s="2"/>
      <c r="Q608" s="2"/>
      <c r="T608" s="2"/>
      <c r="U608" s="2"/>
      <c r="V608" s="2"/>
      <c r="W608" s="2"/>
      <c r="X608" s="2"/>
      <c r="Y608" s="2"/>
    </row>
    <row r="609" spans="2:25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P609" s="2"/>
      <c r="Q609" s="2"/>
      <c r="T609" s="2"/>
      <c r="U609" s="2"/>
      <c r="V609" s="2"/>
      <c r="W609" s="2"/>
      <c r="X609" s="2"/>
      <c r="Y609" s="2"/>
    </row>
    <row r="610" spans="2:25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P610" s="2"/>
      <c r="Q610" s="2"/>
      <c r="T610" s="2"/>
      <c r="U610" s="2"/>
      <c r="V610" s="2"/>
      <c r="W610" s="2"/>
      <c r="X610" s="2"/>
      <c r="Y610" s="2"/>
    </row>
    <row r="611" spans="2:25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P611" s="2"/>
      <c r="Q611" s="2"/>
      <c r="T611" s="2"/>
      <c r="U611" s="2"/>
      <c r="V611" s="2"/>
      <c r="W611" s="2"/>
      <c r="X611" s="2"/>
      <c r="Y611" s="2"/>
    </row>
    <row r="612" spans="2:25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P612" s="2"/>
      <c r="Q612" s="2"/>
      <c r="T612" s="2"/>
      <c r="U612" s="2"/>
      <c r="V612" s="2"/>
      <c r="W612" s="2"/>
      <c r="X612" s="2"/>
      <c r="Y612" s="2"/>
    </row>
    <row r="613" spans="2:25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P613" s="2"/>
      <c r="Q613" s="2"/>
      <c r="T613" s="2"/>
      <c r="U613" s="2"/>
      <c r="V613" s="2"/>
      <c r="W613" s="2"/>
      <c r="X613" s="2"/>
      <c r="Y613" s="2"/>
    </row>
    <row r="614" spans="2:25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P614" s="2"/>
      <c r="Q614" s="2"/>
      <c r="T614" s="2"/>
      <c r="U614" s="2"/>
      <c r="V614" s="2"/>
      <c r="W614" s="2"/>
      <c r="X614" s="2"/>
      <c r="Y614" s="2"/>
    </row>
    <row r="615" spans="2:25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P615" s="2"/>
      <c r="Q615" s="2"/>
      <c r="T615" s="2"/>
      <c r="U615" s="2"/>
      <c r="V615" s="2"/>
      <c r="W615" s="2"/>
      <c r="X615" s="2"/>
      <c r="Y615" s="2"/>
    </row>
    <row r="616" spans="2:25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P616" s="2"/>
      <c r="Q616" s="2"/>
      <c r="T616" s="2"/>
      <c r="U616" s="2"/>
      <c r="V616" s="2"/>
      <c r="W616" s="2"/>
      <c r="X616" s="2"/>
      <c r="Y616" s="2"/>
    </row>
    <row r="617" spans="2:25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P617" s="2"/>
      <c r="Q617" s="2"/>
      <c r="T617" s="2"/>
      <c r="U617" s="2"/>
      <c r="V617" s="2"/>
      <c r="W617" s="2"/>
      <c r="X617" s="2"/>
      <c r="Y617" s="2"/>
    </row>
    <row r="618" spans="2:25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P618" s="2"/>
      <c r="Q618" s="2"/>
      <c r="T618" s="2"/>
      <c r="U618" s="2"/>
      <c r="V618" s="2"/>
      <c r="W618" s="2"/>
      <c r="X618" s="2"/>
      <c r="Y618" s="2"/>
    </row>
    <row r="619" spans="2:25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P619" s="2"/>
      <c r="Q619" s="2"/>
      <c r="T619" s="2"/>
      <c r="U619" s="2"/>
      <c r="V619" s="2"/>
      <c r="W619" s="2"/>
      <c r="X619" s="2"/>
      <c r="Y619" s="2"/>
    </row>
    <row r="620" spans="2:25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P620" s="2"/>
      <c r="Q620" s="2"/>
      <c r="T620" s="2"/>
      <c r="U620" s="2"/>
      <c r="V620" s="2"/>
      <c r="W620" s="2"/>
      <c r="X620" s="2"/>
      <c r="Y620" s="2"/>
    </row>
    <row r="621" spans="2:25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P621" s="2"/>
      <c r="Q621" s="2"/>
      <c r="T621" s="2"/>
      <c r="U621" s="2"/>
      <c r="V621" s="2"/>
      <c r="W621" s="2"/>
      <c r="X621" s="2"/>
      <c r="Y621" s="2"/>
    </row>
    <row r="622" spans="2:25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P622" s="2"/>
      <c r="Q622" s="2"/>
      <c r="T622" s="2"/>
      <c r="U622" s="2"/>
      <c r="V622" s="2"/>
      <c r="W622" s="2"/>
      <c r="X622" s="2"/>
      <c r="Y622" s="2"/>
    </row>
    <row r="623" spans="2:25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P623" s="2"/>
      <c r="Q623" s="2"/>
      <c r="T623" s="2"/>
      <c r="U623" s="2"/>
      <c r="V623" s="2"/>
      <c r="W623" s="2"/>
      <c r="X623" s="2"/>
      <c r="Y623" s="2"/>
    </row>
    <row r="624" spans="2:25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P624" s="2"/>
      <c r="Q624" s="2"/>
      <c r="T624" s="2"/>
      <c r="U624" s="2"/>
      <c r="V624" s="2"/>
      <c r="W624" s="2"/>
      <c r="X624" s="2"/>
      <c r="Y624" s="2"/>
    </row>
    <row r="625" spans="2:25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P625" s="2"/>
      <c r="Q625" s="2"/>
      <c r="T625" s="2"/>
      <c r="U625" s="2"/>
      <c r="V625" s="2"/>
      <c r="W625" s="2"/>
      <c r="X625" s="2"/>
      <c r="Y625" s="2"/>
    </row>
    <row r="626" spans="2:25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P626" s="2"/>
      <c r="Q626" s="2"/>
      <c r="T626" s="2"/>
      <c r="U626" s="2"/>
      <c r="V626" s="2"/>
      <c r="W626" s="2"/>
      <c r="X626" s="2"/>
      <c r="Y626" s="2"/>
    </row>
    <row r="627" spans="2:25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P627" s="2"/>
      <c r="Q627" s="2"/>
      <c r="T627" s="2"/>
      <c r="U627" s="2"/>
      <c r="V627" s="2"/>
      <c r="W627" s="2"/>
      <c r="X627" s="2"/>
      <c r="Y627" s="2"/>
    </row>
    <row r="628" spans="2:25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P628" s="2"/>
      <c r="Q628" s="2"/>
      <c r="T628" s="2"/>
      <c r="U628" s="2"/>
      <c r="V628" s="2"/>
      <c r="W628" s="2"/>
      <c r="X628" s="2"/>
      <c r="Y628" s="2"/>
    </row>
    <row r="629" spans="2:25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P629" s="2"/>
      <c r="Q629" s="2"/>
      <c r="T629" s="2"/>
      <c r="U629" s="2"/>
      <c r="V629" s="2"/>
      <c r="W629" s="2"/>
      <c r="X629" s="2"/>
      <c r="Y629" s="2"/>
    </row>
    <row r="630" spans="2:25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P630" s="2"/>
      <c r="Q630" s="2"/>
      <c r="T630" s="2"/>
      <c r="U630" s="2"/>
      <c r="V630" s="2"/>
      <c r="W630" s="2"/>
      <c r="X630" s="2"/>
      <c r="Y630" s="2"/>
    </row>
    <row r="631" spans="2:25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P631" s="2"/>
      <c r="Q631" s="2"/>
      <c r="T631" s="2"/>
      <c r="U631" s="2"/>
      <c r="V631" s="2"/>
      <c r="W631" s="2"/>
      <c r="X631" s="2"/>
      <c r="Y631" s="2"/>
    </row>
    <row r="632" spans="2:25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P632" s="2"/>
      <c r="Q632" s="2"/>
      <c r="T632" s="2"/>
      <c r="U632" s="2"/>
      <c r="V632" s="2"/>
      <c r="W632" s="2"/>
      <c r="X632" s="2"/>
      <c r="Y632" s="2"/>
    </row>
    <row r="633" spans="2:25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P633" s="2"/>
      <c r="Q633" s="2"/>
      <c r="T633" s="2"/>
      <c r="U633" s="2"/>
      <c r="V633" s="2"/>
      <c r="W633" s="2"/>
      <c r="X633" s="2"/>
      <c r="Y633" s="2"/>
    </row>
    <row r="634" spans="2:25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P634" s="2"/>
      <c r="Q634" s="2"/>
      <c r="T634" s="2"/>
      <c r="U634" s="2"/>
      <c r="V634" s="2"/>
      <c r="W634" s="2"/>
      <c r="X634" s="2"/>
      <c r="Y634" s="2"/>
    </row>
    <row r="635" spans="2:25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P635" s="2"/>
      <c r="Q635" s="2"/>
      <c r="T635" s="2"/>
      <c r="U635" s="2"/>
      <c r="V635" s="2"/>
      <c r="W635" s="2"/>
      <c r="X635" s="2"/>
      <c r="Y635" s="2"/>
    </row>
    <row r="636" spans="2:25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P636" s="2"/>
      <c r="Q636" s="2"/>
      <c r="T636" s="2"/>
      <c r="U636" s="2"/>
      <c r="V636" s="2"/>
      <c r="W636" s="2"/>
      <c r="X636" s="2"/>
      <c r="Y636" s="2"/>
    </row>
    <row r="637" spans="2:25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P637" s="2"/>
      <c r="Q637" s="2"/>
      <c r="T637" s="2"/>
      <c r="U637" s="2"/>
      <c r="V637" s="2"/>
      <c r="W637" s="2"/>
      <c r="X637" s="2"/>
      <c r="Y637" s="2"/>
    </row>
    <row r="638" spans="2:25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P638" s="2"/>
      <c r="Q638" s="2"/>
      <c r="T638" s="2"/>
      <c r="U638" s="2"/>
      <c r="V638" s="2"/>
      <c r="W638" s="2"/>
      <c r="X638" s="2"/>
      <c r="Y638" s="2"/>
    </row>
    <row r="639" spans="2:25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P639" s="2"/>
      <c r="Q639" s="2"/>
      <c r="T639" s="2"/>
      <c r="U639" s="2"/>
      <c r="V639" s="2"/>
      <c r="W639" s="2"/>
      <c r="X639" s="2"/>
      <c r="Y639" s="2"/>
    </row>
    <row r="640" spans="2:25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P640" s="2"/>
      <c r="Q640" s="2"/>
      <c r="T640" s="2"/>
      <c r="U640" s="2"/>
      <c r="V640" s="2"/>
      <c r="W640" s="2"/>
      <c r="X640" s="2"/>
      <c r="Y640" s="2"/>
    </row>
    <row r="641" spans="2:25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P641" s="2"/>
      <c r="Q641" s="2"/>
      <c r="T641" s="2"/>
      <c r="U641" s="2"/>
      <c r="V641" s="2"/>
      <c r="W641" s="2"/>
      <c r="X641" s="2"/>
      <c r="Y641" s="2"/>
    </row>
    <row r="642" spans="2:25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P642" s="2"/>
      <c r="Q642" s="2"/>
      <c r="T642" s="2"/>
      <c r="U642" s="2"/>
      <c r="V642" s="2"/>
      <c r="W642" s="2"/>
      <c r="X642" s="2"/>
      <c r="Y642" s="2"/>
    </row>
    <row r="643" spans="2:25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P643" s="2"/>
      <c r="Q643" s="2"/>
      <c r="T643" s="2"/>
      <c r="U643" s="2"/>
      <c r="V643" s="2"/>
      <c r="W643" s="2"/>
      <c r="X643" s="2"/>
      <c r="Y643" s="2"/>
    </row>
    <row r="644" spans="2:25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P644" s="2"/>
      <c r="Q644" s="2"/>
      <c r="T644" s="2"/>
      <c r="U644" s="2"/>
      <c r="V644" s="2"/>
      <c r="W644" s="2"/>
      <c r="X644" s="2"/>
      <c r="Y644" s="2"/>
    </row>
    <row r="645" spans="2:25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P645" s="2"/>
      <c r="Q645" s="2"/>
      <c r="T645" s="2"/>
      <c r="U645" s="2"/>
      <c r="V645" s="2"/>
      <c r="W645" s="2"/>
      <c r="X645" s="2"/>
      <c r="Y645" s="2"/>
    </row>
    <row r="646" spans="2:25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P646" s="2"/>
      <c r="Q646" s="2"/>
      <c r="T646" s="2"/>
      <c r="U646" s="2"/>
      <c r="V646" s="2"/>
      <c r="W646" s="2"/>
      <c r="X646" s="2"/>
      <c r="Y646" s="2"/>
    </row>
    <row r="647" spans="2:25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P647" s="2"/>
      <c r="Q647" s="2"/>
      <c r="T647" s="2"/>
      <c r="U647" s="2"/>
      <c r="V647" s="2"/>
      <c r="W647" s="2"/>
      <c r="X647" s="2"/>
      <c r="Y647" s="2"/>
    </row>
    <row r="648" spans="2:25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P648" s="2"/>
      <c r="Q648" s="2"/>
      <c r="T648" s="2"/>
      <c r="U648" s="2"/>
      <c r="V648" s="2"/>
      <c r="W648" s="2"/>
      <c r="X648" s="2"/>
      <c r="Y648" s="2"/>
    </row>
    <row r="649" spans="2:25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P649" s="2"/>
      <c r="Q649" s="2"/>
      <c r="T649" s="2"/>
      <c r="U649" s="2"/>
      <c r="V649" s="2"/>
      <c r="W649" s="2"/>
      <c r="X649" s="2"/>
      <c r="Y649" s="2"/>
    </row>
    <row r="650" spans="2:25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P650" s="2"/>
      <c r="Q650" s="2"/>
      <c r="T650" s="2"/>
      <c r="U650" s="2"/>
      <c r="V650" s="2"/>
      <c r="W650" s="2"/>
      <c r="X650" s="2"/>
      <c r="Y650" s="2"/>
    </row>
    <row r="651" spans="2:25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P651" s="2"/>
      <c r="Q651" s="2"/>
      <c r="T651" s="2"/>
      <c r="U651" s="2"/>
      <c r="V651" s="2"/>
      <c r="W651" s="2"/>
      <c r="X651" s="2"/>
      <c r="Y651" s="2"/>
    </row>
    <row r="652" spans="2:25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P652" s="2"/>
      <c r="Q652" s="2"/>
      <c r="T652" s="2"/>
      <c r="U652" s="2"/>
      <c r="V652" s="2"/>
      <c r="W652" s="2"/>
      <c r="X652" s="2"/>
      <c r="Y652" s="2"/>
    </row>
    <row r="653" spans="2:25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P653" s="2"/>
      <c r="Q653" s="2"/>
      <c r="T653" s="2"/>
      <c r="U653" s="2"/>
      <c r="V653" s="2"/>
      <c r="W653" s="2"/>
      <c r="X653" s="2"/>
      <c r="Y653" s="2"/>
    </row>
    <row r="654" spans="2:25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P654" s="2"/>
      <c r="Q654" s="2"/>
      <c r="T654" s="2"/>
      <c r="U654" s="2"/>
      <c r="V654" s="2"/>
      <c r="W654" s="2"/>
      <c r="X654" s="2"/>
      <c r="Y654" s="2"/>
    </row>
    <row r="655" spans="2:25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P655" s="2"/>
      <c r="Q655" s="2"/>
      <c r="T655" s="2"/>
      <c r="U655" s="2"/>
      <c r="V655" s="2"/>
      <c r="W655" s="2"/>
      <c r="X655" s="2"/>
      <c r="Y655" s="2"/>
    </row>
    <row r="656" spans="2:25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P656" s="2"/>
      <c r="Q656" s="2"/>
      <c r="T656" s="2"/>
      <c r="U656" s="2"/>
      <c r="V656" s="2"/>
      <c r="W656" s="2"/>
      <c r="X656" s="2"/>
      <c r="Y656" s="2"/>
    </row>
    <row r="657" spans="2:25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P657" s="2"/>
      <c r="Q657" s="2"/>
      <c r="T657" s="2"/>
      <c r="U657" s="2"/>
      <c r="V657" s="2"/>
      <c r="W657" s="2"/>
      <c r="X657" s="2"/>
      <c r="Y657" s="2"/>
    </row>
    <row r="658" spans="2:25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P658" s="2"/>
      <c r="Q658" s="2"/>
      <c r="T658" s="2"/>
      <c r="U658" s="2"/>
      <c r="V658" s="2"/>
      <c r="W658" s="2"/>
      <c r="X658" s="2"/>
      <c r="Y658" s="2"/>
    </row>
    <row r="659" spans="2:25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P659" s="2"/>
      <c r="Q659" s="2"/>
      <c r="T659" s="2"/>
      <c r="U659" s="2"/>
      <c r="V659" s="2"/>
      <c r="W659" s="2"/>
      <c r="X659" s="2"/>
      <c r="Y659" s="2"/>
    </row>
    <row r="660" spans="2:25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P660" s="2"/>
      <c r="Q660" s="2"/>
      <c r="T660" s="2"/>
      <c r="U660" s="2"/>
      <c r="V660" s="2"/>
      <c r="W660" s="2"/>
      <c r="X660" s="2"/>
      <c r="Y660" s="2"/>
    </row>
    <row r="661" spans="2:25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P661" s="2"/>
      <c r="Q661" s="2"/>
      <c r="T661" s="2"/>
      <c r="U661" s="2"/>
      <c r="V661" s="2"/>
      <c r="W661" s="2"/>
      <c r="X661" s="2"/>
      <c r="Y661" s="2"/>
    </row>
    <row r="662" spans="2:25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P662" s="2"/>
      <c r="Q662" s="2"/>
      <c r="T662" s="2"/>
      <c r="U662" s="2"/>
      <c r="V662" s="2"/>
      <c r="W662" s="2"/>
      <c r="X662" s="2"/>
      <c r="Y662" s="2"/>
    </row>
    <row r="663" spans="2:25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P663" s="2"/>
      <c r="Q663" s="2"/>
      <c r="T663" s="2"/>
      <c r="U663" s="2"/>
      <c r="V663" s="2"/>
      <c r="W663" s="2"/>
      <c r="X663" s="2"/>
      <c r="Y663" s="2"/>
    </row>
    <row r="664" spans="2:25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P664" s="2"/>
      <c r="Q664" s="2"/>
      <c r="T664" s="2"/>
      <c r="U664" s="2"/>
      <c r="V664" s="2"/>
      <c r="W664" s="2"/>
      <c r="X664" s="2"/>
      <c r="Y664" s="2"/>
    </row>
    <row r="665" spans="2:25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P665" s="2"/>
      <c r="Q665" s="2"/>
      <c r="T665" s="2"/>
      <c r="U665" s="2"/>
      <c r="V665" s="2"/>
      <c r="W665" s="2"/>
      <c r="X665" s="2"/>
      <c r="Y665" s="2"/>
    </row>
    <row r="666" spans="2:25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P666" s="2"/>
      <c r="Q666" s="2"/>
      <c r="T666" s="2"/>
      <c r="U666" s="2"/>
      <c r="V666" s="2"/>
      <c r="W666" s="2"/>
      <c r="X666" s="2"/>
      <c r="Y666" s="2"/>
    </row>
    <row r="667" spans="2:25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P667" s="2"/>
      <c r="Q667" s="2"/>
      <c r="T667" s="2"/>
      <c r="U667" s="2"/>
      <c r="V667" s="2"/>
      <c r="W667" s="2"/>
      <c r="X667" s="2"/>
      <c r="Y667" s="2"/>
    </row>
    <row r="668" spans="2:25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P668" s="2"/>
      <c r="Q668" s="2"/>
      <c r="T668" s="2"/>
      <c r="U668" s="2"/>
      <c r="V668" s="2"/>
      <c r="W668" s="2"/>
      <c r="X668" s="2"/>
      <c r="Y668" s="2"/>
    </row>
    <row r="669" spans="2:25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P669" s="2"/>
      <c r="Q669" s="2"/>
      <c r="T669" s="2"/>
      <c r="U669" s="2"/>
      <c r="V669" s="2"/>
      <c r="W669" s="2"/>
      <c r="X669" s="2"/>
      <c r="Y669" s="2"/>
    </row>
    <row r="670" spans="2:25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P670" s="2"/>
      <c r="Q670" s="2"/>
      <c r="T670" s="2"/>
      <c r="U670" s="2"/>
      <c r="V670" s="2"/>
      <c r="W670" s="2"/>
      <c r="X670" s="2"/>
      <c r="Y670" s="2"/>
    </row>
    <row r="671" spans="2:25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P671" s="2"/>
      <c r="Q671" s="2"/>
      <c r="T671" s="2"/>
      <c r="U671" s="2"/>
      <c r="V671" s="2"/>
      <c r="W671" s="2"/>
      <c r="X671" s="2"/>
      <c r="Y671" s="2"/>
    </row>
    <row r="672" spans="2:25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P672" s="2"/>
      <c r="Q672" s="2"/>
      <c r="T672" s="2"/>
      <c r="U672" s="2"/>
      <c r="V672" s="2"/>
      <c r="W672" s="2"/>
      <c r="X672" s="2"/>
      <c r="Y672" s="2"/>
    </row>
    <row r="673" spans="2:25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P673" s="2"/>
      <c r="Q673" s="2"/>
      <c r="T673" s="2"/>
      <c r="U673" s="2"/>
      <c r="V673" s="2"/>
      <c r="W673" s="2"/>
      <c r="X673" s="2"/>
      <c r="Y673" s="2"/>
    </row>
    <row r="674" spans="2:25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P674" s="2"/>
      <c r="Q674" s="2"/>
      <c r="T674" s="2"/>
      <c r="U674" s="2"/>
      <c r="V674" s="2"/>
      <c r="W674" s="2"/>
      <c r="X674" s="2"/>
      <c r="Y674" s="2"/>
    </row>
    <row r="675" spans="2:25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P675" s="2"/>
      <c r="Q675" s="2"/>
      <c r="T675" s="2"/>
      <c r="U675" s="2"/>
      <c r="V675" s="2"/>
      <c r="W675" s="2"/>
      <c r="X675" s="2"/>
      <c r="Y675" s="2"/>
    </row>
    <row r="676" spans="2:25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P676" s="2"/>
      <c r="Q676" s="2"/>
      <c r="T676" s="2"/>
      <c r="U676" s="2"/>
      <c r="V676" s="2"/>
      <c r="W676" s="2"/>
      <c r="X676" s="2"/>
      <c r="Y676" s="2"/>
    </row>
    <row r="677" spans="2:25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P677" s="2"/>
      <c r="Q677" s="2"/>
      <c r="T677" s="2"/>
      <c r="U677" s="2"/>
      <c r="V677" s="2"/>
      <c r="W677" s="2"/>
      <c r="X677" s="2"/>
      <c r="Y677" s="2"/>
    </row>
    <row r="678" spans="2:25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P678" s="2"/>
      <c r="Q678" s="2"/>
      <c r="T678" s="2"/>
      <c r="U678" s="2"/>
      <c r="V678" s="2"/>
      <c r="W678" s="2"/>
      <c r="X678" s="2"/>
      <c r="Y678" s="2"/>
    </row>
    <row r="679" spans="2:25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P679" s="2"/>
      <c r="Q679" s="2"/>
      <c r="T679" s="2"/>
      <c r="U679" s="2"/>
      <c r="V679" s="2"/>
      <c r="W679" s="2"/>
      <c r="X679" s="2"/>
      <c r="Y679" s="2"/>
    </row>
    <row r="680" spans="2:25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P680" s="2"/>
      <c r="Q680" s="2"/>
      <c r="T680" s="2"/>
      <c r="U680" s="2"/>
      <c r="V680" s="2"/>
      <c r="W680" s="2"/>
      <c r="X680" s="2"/>
      <c r="Y680" s="2"/>
    </row>
    <row r="681" spans="2:25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P681" s="2"/>
      <c r="Q681" s="2"/>
      <c r="T681" s="2"/>
      <c r="U681" s="2"/>
      <c r="V681" s="2"/>
      <c r="W681" s="2"/>
      <c r="X681" s="2"/>
      <c r="Y681" s="2"/>
    </row>
    <row r="682" spans="2:25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P682" s="2"/>
      <c r="Q682" s="2"/>
      <c r="T682" s="2"/>
      <c r="U682" s="2"/>
      <c r="V682" s="2"/>
      <c r="W682" s="2"/>
      <c r="X682" s="2"/>
      <c r="Y682" s="2"/>
    </row>
    <row r="683" spans="2:25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P683" s="2"/>
      <c r="Q683" s="2"/>
      <c r="T683" s="2"/>
      <c r="U683" s="2"/>
      <c r="V683" s="2"/>
      <c r="W683" s="2"/>
      <c r="X683" s="2"/>
      <c r="Y683" s="2"/>
    </row>
    <row r="684" spans="2:25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P684" s="2"/>
      <c r="Q684" s="2"/>
      <c r="T684" s="2"/>
      <c r="U684" s="2"/>
      <c r="V684" s="2"/>
      <c r="W684" s="2"/>
      <c r="X684" s="2"/>
      <c r="Y684" s="2"/>
    </row>
    <row r="685" spans="2:25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P685" s="2"/>
      <c r="Q685" s="2"/>
      <c r="T685" s="2"/>
      <c r="U685" s="2"/>
      <c r="V685" s="2"/>
      <c r="W685" s="2"/>
      <c r="X685" s="2"/>
      <c r="Y685" s="2"/>
    </row>
    <row r="686" spans="2:25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P686" s="2"/>
      <c r="Q686" s="2"/>
      <c r="T686" s="2"/>
      <c r="U686" s="2"/>
      <c r="V686" s="2"/>
      <c r="W686" s="2"/>
      <c r="X686" s="2"/>
      <c r="Y686" s="2"/>
    </row>
    <row r="687" spans="2:25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P687" s="2"/>
      <c r="Q687" s="2"/>
      <c r="T687" s="2"/>
      <c r="U687" s="2"/>
      <c r="V687" s="2"/>
      <c r="W687" s="2"/>
      <c r="X687" s="2"/>
      <c r="Y687" s="2"/>
    </row>
    <row r="688" spans="2:25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P688" s="2"/>
      <c r="Q688" s="2"/>
      <c r="T688" s="2"/>
      <c r="U688" s="2"/>
      <c r="V688" s="2"/>
      <c r="W688" s="2"/>
      <c r="X688" s="2"/>
      <c r="Y688" s="2"/>
    </row>
    <row r="689" spans="2:25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P689" s="2"/>
      <c r="Q689" s="2"/>
      <c r="T689" s="2"/>
      <c r="U689" s="2"/>
      <c r="V689" s="2"/>
      <c r="W689" s="2"/>
      <c r="X689" s="2"/>
      <c r="Y689" s="2"/>
    </row>
    <row r="690" spans="2:25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P690" s="2"/>
      <c r="Q690" s="2"/>
      <c r="T690" s="2"/>
      <c r="U690" s="2"/>
      <c r="V690" s="2"/>
      <c r="W690" s="2"/>
      <c r="X690" s="2"/>
      <c r="Y690" s="2"/>
    </row>
    <row r="691" spans="2:25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P691" s="2"/>
      <c r="Q691" s="2"/>
      <c r="T691" s="2"/>
      <c r="U691" s="2"/>
      <c r="V691" s="2"/>
      <c r="W691" s="2"/>
      <c r="X691" s="2"/>
      <c r="Y691" s="2"/>
    </row>
    <row r="692" spans="2:25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P692" s="2"/>
      <c r="Q692" s="2"/>
      <c r="T692" s="2"/>
      <c r="U692" s="2"/>
      <c r="V692" s="2"/>
      <c r="W692" s="2"/>
      <c r="X692" s="2"/>
      <c r="Y692" s="2"/>
    </row>
    <row r="693" spans="2:25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P693" s="2"/>
      <c r="Q693" s="2"/>
      <c r="T693" s="2"/>
      <c r="U693" s="2"/>
      <c r="V693" s="2"/>
      <c r="W693" s="2"/>
      <c r="X693" s="2"/>
      <c r="Y693" s="2"/>
    </row>
    <row r="694" spans="2:25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P694" s="2"/>
      <c r="Q694" s="2"/>
      <c r="T694" s="2"/>
      <c r="U694" s="2"/>
      <c r="V694" s="2"/>
      <c r="W694" s="2"/>
      <c r="X694" s="2"/>
      <c r="Y694" s="2"/>
    </row>
    <row r="695" spans="2:25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P695" s="2"/>
      <c r="Q695" s="2"/>
      <c r="T695" s="2"/>
      <c r="U695" s="2"/>
      <c r="V695" s="2"/>
      <c r="W695" s="2"/>
      <c r="X695" s="2"/>
      <c r="Y695" s="2"/>
    </row>
    <row r="696" spans="2:25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P696" s="2"/>
      <c r="Q696" s="2"/>
      <c r="T696" s="2"/>
      <c r="U696" s="2"/>
      <c r="V696" s="2"/>
      <c r="W696" s="2"/>
      <c r="X696" s="2"/>
      <c r="Y696" s="2"/>
    </row>
    <row r="697" spans="2:25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P697" s="2"/>
      <c r="Q697" s="2"/>
      <c r="T697" s="2"/>
      <c r="U697" s="2"/>
      <c r="V697" s="2"/>
      <c r="W697" s="2"/>
      <c r="X697" s="2"/>
      <c r="Y697" s="2"/>
    </row>
    <row r="698" spans="2:25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P698" s="2"/>
      <c r="Q698" s="2"/>
      <c r="T698" s="2"/>
      <c r="U698" s="2"/>
      <c r="V698" s="2"/>
      <c r="W698" s="2"/>
      <c r="X698" s="2"/>
      <c r="Y698" s="2"/>
    </row>
    <row r="699" spans="2:25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P699" s="2"/>
      <c r="Q699" s="2"/>
      <c r="T699" s="2"/>
      <c r="U699" s="2"/>
      <c r="V699" s="2"/>
      <c r="W699" s="2"/>
      <c r="X699" s="2"/>
      <c r="Y699" s="2"/>
    </row>
    <row r="700" spans="2:25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P700" s="2"/>
      <c r="Q700" s="2"/>
      <c r="T700" s="2"/>
      <c r="U700" s="2"/>
      <c r="V700" s="2"/>
      <c r="W700" s="2"/>
      <c r="X700" s="2"/>
      <c r="Y700" s="2"/>
    </row>
    <row r="701" spans="2:25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P701" s="2"/>
      <c r="Q701" s="2"/>
      <c r="T701" s="2"/>
      <c r="U701" s="2"/>
      <c r="V701" s="2"/>
      <c r="W701" s="2"/>
      <c r="X701" s="2"/>
      <c r="Y701" s="2"/>
    </row>
    <row r="702" spans="2:25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P702" s="2"/>
      <c r="Q702" s="2"/>
      <c r="T702" s="2"/>
      <c r="U702" s="2"/>
      <c r="V702" s="2"/>
      <c r="W702" s="2"/>
      <c r="X702" s="2"/>
      <c r="Y702" s="2"/>
    </row>
    <row r="703" spans="2:25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P703" s="2"/>
      <c r="Q703" s="2"/>
      <c r="T703" s="2"/>
      <c r="U703" s="2"/>
      <c r="V703" s="2"/>
      <c r="W703" s="2"/>
      <c r="X703" s="2"/>
      <c r="Y703" s="2"/>
    </row>
    <row r="704" spans="2:25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P704" s="2"/>
      <c r="Q704" s="2"/>
      <c r="T704" s="2"/>
      <c r="U704" s="2"/>
      <c r="V704" s="2"/>
      <c r="W704" s="2"/>
      <c r="X704" s="2"/>
      <c r="Y704" s="2"/>
    </row>
    <row r="705" spans="2:25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P705" s="2"/>
      <c r="Q705" s="2"/>
      <c r="T705" s="2"/>
      <c r="U705" s="2"/>
      <c r="V705" s="2"/>
      <c r="W705" s="2"/>
      <c r="X705" s="2"/>
      <c r="Y705" s="2"/>
    </row>
    <row r="706" spans="2:25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P706" s="2"/>
      <c r="Q706" s="2"/>
      <c r="T706" s="2"/>
      <c r="U706" s="2"/>
      <c r="V706" s="2"/>
      <c r="W706" s="2"/>
      <c r="X706" s="2"/>
      <c r="Y706" s="2"/>
    </row>
    <row r="707" spans="2:25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P707" s="2"/>
      <c r="Q707" s="2"/>
      <c r="T707" s="2"/>
      <c r="U707" s="2"/>
      <c r="V707" s="2"/>
      <c r="W707" s="2"/>
      <c r="X707" s="2"/>
      <c r="Y707" s="2"/>
    </row>
    <row r="708" spans="2:25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P708" s="2"/>
      <c r="Q708" s="2"/>
      <c r="T708" s="2"/>
      <c r="U708" s="2"/>
      <c r="V708" s="2"/>
      <c r="W708" s="2"/>
      <c r="X708" s="2"/>
      <c r="Y708" s="2"/>
    </row>
    <row r="709" spans="2:25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P709" s="2"/>
      <c r="Q709" s="2"/>
      <c r="T709" s="2"/>
      <c r="U709" s="2"/>
      <c r="V709" s="2"/>
      <c r="W709" s="2"/>
      <c r="X709" s="2"/>
      <c r="Y709" s="2"/>
    </row>
    <row r="710" spans="2:25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P710" s="2"/>
      <c r="Q710" s="2"/>
      <c r="T710" s="2"/>
      <c r="U710" s="2"/>
      <c r="V710" s="2"/>
      <c r="W710" s="2"/>
      <c r="X710" s="2"/>
      <c r="Y710" s="2"/>
    </row>
    <row r="711" spans="2:25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P711" s="2"/>
      <c r="Q711" s="2"/>
      <c r="T711" s="2"/>
      <c r="U711" s="2"/>
      <c r="V711" s="2"/>
      <c r="W711" s="2"/>
      <c r="X711" s="2"/>
      <c r="Y711" s="2"/>
    </row>
    <row r="712" spans="2:25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P712" s="2"/>
      <c r="Q712" s="2"/>
      <c r="T712" s="2"/>
      <c r="U712" s="2"/>
      <c r="V712" s="2"/>
      <c r="W712" s="2"/>
      <c r="X712" s="2"/>
      <c r="Y712" s="2"/>
    </row>
    <row r="713" spans="2:25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P713" s="2"/>
      <c r="Q713" s="2"/>
      <c r="T713" s="2"/>
      <c r="U713" s="2"/>
      <c r="V713" s="2"/>
      <c r="W713" s="2"/>
      <c r="X713" s="2"/>
      <c r="Y713" s="2"/>
    </row>
    <row r="714" spans="2:25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P714" s="2"/>
      <c r="Q714" s="2"/>
      <c r="T714" s="2"/>
      <c r="U714" s="2"/>
      <c r="V714" s="2"/>
      <c r="W714" s="2"/>
      <c r="X714" s="2"/>
      <c r="Y714" s="2"/>
    </row>
    <row r="715" spans="2:25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P715" s="2"/>
      <c r="Q715" s="2"/>
      <c r="T715" s="2"/>
      <c r="U715" s="2"/>
      <c r="V715" s="2"/>
      <c r="W715" s="2"/>
      <c r="X715" s="2"/>
      <c r="Y715" s="2"/>
    </row>
    <row r="716" spans="2:25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P716" s="2"/>
      <c r="Q716" s="2"/>
      <c r="T716" s="2"/>
      <c r="U716" s="2"/>
      <c r="V716" s="2"/>
      <c r="W716" s="2"/>
      <c r="X716" s="2"/>
      <c r="Y716" s="2"/>
    </row>
    <row r="717" spans="2:25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P717" s="2"/>
      <c r="Q717" s="2"/>
      <c r="T717" s="2"/>
      <c r="U717" s="2"/>
      <c r="V717" s="2"/>
      <c r="W717" s="2"/>
      <c r="X717" s="2"/>
      <c r="Y717" s="2"/>
    </row>
    <row r="718" spans="2:25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P718" s="2"/>
      <c r="Q718" s="2"/>
      <c r="T718" s="2"/>
      <c r="U718" s="2"/>
      <c r="V718" s="2"/>
      <c r="W718" s="2"/>
      <c r="X718" s="2"/>
      <c r="Y718" s="2"/>
    </row>
    <row r="719" spans="2:25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P719" s="2"/>
      <c r="Q719" s="2"/>
      <c r="T719" s="2"/>
      <c r="U719" s="2"/>
      <c r="V719" s="2"/>
      <c r="W719" s="2"/>
      <c r="X719" s="2"/>
      <c r="Y719" s="2"/>
    </row>
    <row r="720" spans="2:25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P720" s="2"/>
      <c r="Q720" s="2"/>
      <c r="T720" s="2"/>
      <c r="U720" s="2"/>
      <c r="V720" s="2"/>
      <c r="W720" s="2"/>
      <c r="X720" s="2"/>
      <c r="Y720" s="2"/>
    </row>
    <row r="721" spans="2:25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P721" s="2"/>
      <c r="Q721" s="2"/>
      <c r="T721" s="2"/>
      <c r="U721" s="2"/>
      <c r="V721" s="2"/>
      <c r="W721" s="2"/>
      <c r="X721" s="2"/>
      <c r="Y721" s="2"/>
    </row>
    <row r="722" spans="2:25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P722" s="2"/>
      <c r="Q722" s="2"/>
      <c r="T722" s="2"/>
      <c r="U722" s="2"/>
      <c r="V722" s="2"/>
      <c r="W722" s="2"/>
      <c r="X722" s="2"/>
      <c r="Y722" s="2"/>
    </row>
    <row r="723" spans="2:25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P723" s="2"/>
      <c r="Q723" s="2"/>
      <c r="T723" s="2"/>
      <c r="U723" s="2"/>
      <c r="V723" s="2"/>
      <c r="W723" s="2"/>
      <c r="X723" s="2"/>
      <c r="Y723" s="2"/>
    </row>
    <row r="724" spans="2:25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P724" s="2"/>
      <c r="Q724" s="2"/>
      <c r="T724" s="2"/>
      <c r="U724" s="2"/>
      <c r="V724" s="2"/>
      <c r="W724" s="2"/>
      <c r="X724" s="2"/>
      <c r="Y724" s="2"/>
    </row>
    <row r="725" spans="2:25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P725" s="2"/>
      <c r="Q725" s="2"/>
      <c r="T725" s="2"/>
      <c r="U725" s="2"/>
      <c r="V725" s="2"/>
      <c r="W725" s="2"/>
      <c r="X725" s="2"/>
      <c r="Y725" s="2"/>
    </row>
    <row r="726" spans="2:25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P726" s="2"/>
      <c r="Q726" s="2"/>
      <c r="T726" s="2"/>
      <c r="U726" s="2"/>
      <c r="V726" s="2"/>
      <c r="W726" s="2"/>
      <c r="X726" s="2"/>
      <c r="Y726" s="2"/>
    </row>
    <row r="727" spans="2:25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P727" s="2"/>
      <c r="Q727" s="2"/>
      <c r="T727" s="2"/>
      <c r="U727" s="2"/>
      <c r="V727" s="2"/>
      <c r="W727" s="2"/>
      <c r="X727" s="2"/>
      <c r="Y727" s="2"/>
    </row>
    <row r="728" spans="2:25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P728" s="2"/>
      <c r="Q728" s="2"/>
      <c r="T728" s="2"/>
      <c r="U728" s="2"/>
      <c r="V728" s="2"/>
      <c r="W728" s="2"/>
      <c r="X728" s="2"/>
      <c r="Y728" s="2"/>
    </row>
    <row r="729" spans="2:25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P729" s="2"/>
      <c r="Q729" s="2"/>
      <c r="T729" s="2"/>
      <c r="U729" s="2"/>
      <c r="V729" s="2"/>
      <c r="W729" s="2"/>
      <c r="X729" s="2"/>
      <c r="Y729" s="2"/>
    </row>
    <row r="730" spans="2:25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P730" s="2"/>
      <c r="Q730" s="2"/>
      <c r="T730" s="2"/>
      <c r="U730" s="2"/>
      <c r="V730" s="2"/>
      <c r="W730" s="2"/>
      <c r="X730" s="2"/>
      <c r="Y730" s="2"/>
    </row>
    <row r="731" spans="2:25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P731" s="2"/>
      <c r="Q731" s="2"/>
      <c r="T731" s="2"/>
      <c r="U731" s="2"/>
      <c r="V731" s="2"/>
      <c r="W731" s="2"/>
      <c r="X731" s="2"/>
      <c r="Y731" s="2"/>
    </row>
    <row r="732" spans="2:25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P732" s="2"/>
      <c r="Q732" s="2"/>
      <c r="T732" s="2"/>
      <c r="U732" s="2"/>
      <c r="V732" s="2"/>
      <c r="W732" s="2"/>
      <c r="X732" s="2"/>
      <c r="Y732" s="2"/>
    </row>
    <row r="733" spans="2:25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P733" s="2"/>
      <c r="Q733" s="2"/>
      <c r="T733" s="2"/>
      <c r="U733" s="2"/>
      <c r="V733" s="2"/>
      <c r="W733" s="2"/>
      <c r="X733" s="2"/>
      <c r="Y733" s="2"/>
    </row>
    <row r="734" spans="2:25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P734" s="2"/>
      <c r="Q734" s="2"/>
      <c r="T734" s="2"/>
      <c r="U734" s="2"/>
      <c r="V734" s="2"/>
      <c r="W734" s="2"/>
      <c r="X734" s="2"/>
      <c r="Y734" s="2"/>
    </row>
    <row r="735" spans="2:25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P735" s="2"/>
      <c r="Q735" s="2"/>
      <c r="T735" s="2"/>
      <c r="U735" s="2"/>
      <c r="V735" s="2"/>
      <c r="W735" s="2"/>
      <c r="X735" s="2"/>
      <c r="Y735" s="2"/>
    </row>
    <row r="736" spans="2:25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P736" s="2"/>
      <c r="Q736" s="2"/>
      <c r="T736" s="2"/>
      <c r="U736" s="2"/>
      <c r="V736" s="2"/>
      <c r="W736" s="2"/>
      <c r="X736" s="2"/>
      <c r="Y736" s="2"/>
    </row>
    <row r="737" spans="2:25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P737" s="2"/>
      <c r="Q737" s="2"/>
      <c r="T737" s="2"/>
      <c r="U737" s="2"/>
      <c r="V737" s="2"/>
      <c r="W737" s="2"/>
      <c r="X737" s="2"/>
      <c r="Y737" s="2"/>
    </row>
    <row r="738" spans="2:25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P738" s="2"/>
      <c r="Q738" s="2"/>
      <c r="T738" s="2"/>
      <c r="U738" s="2"/>
      <c r="V738" s="2"/>
      <c r="W738" s="2"/>
      <c r="X738" s="2"/>
      <c r="Y738" s="2"/>
    </row>
    <row r="739" spans="2:25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P739" s="2"/>
      <c r="Q739" s="2"/>
      <c r="T739" s="2"/>
      <c r="U739" s="2"/>
      <c r="V739" s="2"/>
      <c r="W739" s="2"/>
      <c r="X739" s="2"/>
      <c r="Y739" s="2"/>
    </row>
    <row r="740" spans="2:25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P740" s="2"/>
      <c r="Q740" s="2"/>
      <c r="T740" s="2"/>
      <c r="U740" s="2"/>
      <c r="V740" s="2"/>
      <c r="W740" s="2"/>
      <c r="X740" s="2"/>
      <c r="Y740" s="2"/>
    </row>
    <row r="741" spans="2:25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P741" s="2"/>
      <c r="Q741" s="2"/>
      <c r="T741" s="2"/>
      <c r="U741" s="2"/>
      <c r="V741" s="2"/>
      <c r="W741" s="2"/>
      <c r="X741" s="2"/>
      <c r="Y741" s="2"/>
    </row>
    <row r="742" spans="2:25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P742" s="2"/>
      <c r="Q742" s="2"/>
      <c r="T742" s="2"/>
      <c r="U742" s="2"/>
      <c r="V742" s="2"/>
      <c r="W742" s="2"/>
      <c r="X742" s="2"/>
      <c r="Y742" s="2"/>
    </row>
    <row r="743" spans="2:25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P743" s="2"/>
      <c r="Q743" s="2"/>
      <c r="T743" s="2"/>
      <c r="U743" s="2"/>
      <c r="V743" s="2"/>
      <c r="W743" s="2"/>
      <c r="X743" s="2"/>
      <c r="Y743" s="2"/>
    </row>
    <row r="744" spans="2:25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P744" s="2"/>
      <c r="Q744" s="2"/>
      <c r="T744" s="2"/>
      <c r="U744" s="2"/>
      <c r="V744" s="2"/>
      <c r="W744" s="2"/>
      <c r="X744" s="2"/>
      <c r="Y744" s="2"/>
    </row>
    <row r="745" spans="2:25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P745" s="2"/>
      <c r="Q745" s="2"/>
      <c r="T745" s="2"/>
      <c r="U745" s="2"/>
      <c r="V745" s="2"/>
      <c r="W745" s="2"/>
      <c r="X745" s="2"/>
      <c r="Y745" s="2"/>
    </row>
    <row r="746" spans="2:25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P746" s="2"/>
      <c r="Q746" s="2"/>
      <c r="T746" s="2"/>
      <c r="U746" s="2"/>
      <c r="V746" s="2"/>
      <c r="W746" s="2"/>
      <c r="X746" s="2"/>
      <c r="Y746" s="2"/>
    </row>
    <row r="747" spans="2:25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P747" s="2"/>
      <c r="Q747" s="2"/>
      <c r="T747" s="2"/>
      <c r="U747" s="2"/>
      <c r="V747" s="2"/>
      <c r="W747" s="2"/>
      <c r="X747" s="2"/>
      <c r="Y747" s="2"/>
    </row>
    <row r="748" spans="2:25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P748" s="2"/>
      <c r="Q748" s="2"/>
      <c r="T748" s="2"/>
      <c r="U748" s="2"/>
      <c r="V748" s="2"/>
      <c r="W748" s="2"/>
      <c r="X748" s="2"/>
      <c r="Y748" s="2"/>
    </row>
    <row r="749" spans="2:25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P749" s="2"/>
      <c r="Q749" s="2"/>
      <c r="T749" s="2"/>
      <c r="U749" s="2"/>
      <c r="V749" s="2"/>
      <c r="W749" s="2"/>
      <c r="X749" s="2"/>
      <c r="Y749" s="2"/>
    </row>
    <row r="750" spans="2:25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P750" s="2"/>
      <c r="Q750" s="2"/>
      <c r="T750" s="2"/>
      <c r="U750" s="2"/>
      <c r="V750" s="2"/>
      <c r="W750" s="2"/>
      <c r="X750" s="2"/>
      <c r="Y750" s="2"/>
    </row>
    <row r="751" spans="2:25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P751" s="2"/>
      <c r="Q751" s="2"/>
      <c r="T751" s="2"/>
      <c r="U751" s="2"/>
      <c r="V751" s="2"/>
      <c r="W751" s="2"/>
      <c r="X751" s="2"/>
      <c r="Y751" s="2"/>
    </row>
    <row r="752" spans="2:25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P752" s="2"/>
      <c r="Q752" s="2"/>
      <c r="T752" s="2"/>
      <c r="U752" s="2"/>
      <c r="V752" s="2"/>
      <c r="W752" s="2"/>
      <c r="X752" s="2"/>
      <c r="Y752" s="2"/>
    </row>
    <row r="753" spans="2:25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P753" s="2"/>
      <c r="Q753" s="2"/>
      <c r="T753" s="2"/>
      <c r="U753" s="2"/>
      <c r="V753" s="2"/>
      <c r="W753" s="2"/>
      <c r="X753" s="2"/>
      <c r="Y753" s="2"/>
    </row>
    <row r="754" spans="2:25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P754" s="2"/>
      <c r="Q754" s="2"/>
      <c r="T754" s="2"/>
      <c r="U754" s="2"/>
      <c r="V754" s="2"/>
      <c r="W754" s="2"/>
      <c r="X754" s="2"/>
      <c r="Y754" s="2"/>
    </row>
    <row r="755" spans="2:25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P755" s="2"/>
      <c r="Q755" s="2"/>
      <c r="T755" s="2"/>
      <c r="U755" s="2"/>
      <c r="V755" s="2"/>
      <c r="W755" s="2"/>
      <c r="X755" s="2"/>
      <c r="Y755" s="2"/>
    </row>
    <row r="756" spans="2:25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P756" s="2"/>
      <c r="Q756" s="2"/>
      <c r="T756" s="2"/>
      <c r="U756" s="2"/>
      <c r="V756" s="2"/>
      <c r="W756" s="2"/>
      <c r="X756" s="2"/>
      <c r="Y756" s="2"/>
    </row>
    <row r="757" spans="2:25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P757" s="2"/>
      <c r="Q757" s="2"/>
      <c r="T757" s="2"/>
      <c r="U757" s="2"/>
      <c r="V757" s="2"/>
      <c r="W757" s="2"/>
      <c r="X757" s="2"/>
      <c r="Y757" s="2"/>
    </row>
    <row r="758" spans="2:25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P758" s="2"/>
      <c r="Q758" s="2"/>
      <c r="T758" s="2"/>
      <c r="U758" s="2"/>
      <c r="V758" s="2"/>
      <c r="W758" s="2"/>
      <c r="X758" s="2"/>
      <c r="Y758" s="2"/>
    </row>
    <row r="759" spans="2:25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P759" s="2"/>
      <c r="Q759" s="2"/>
      <c r="T759" s="2"/>
      <c r="U759" s="2"/>
      <c r="V759" s="2"/>
      <c r="W759" s="2"/>
      <c r="X759" s="2"/>
      <c r="Y759" s="2"/>
    </row>
    <row r="760" spans="2:25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P760" s="2"/>
      <c r="Q760" s="2"/>
      <c r="T760" s="2"/>
      <c r="U760" s="2"/>
      <c r="V760" s="2"/>
      <c r="W760" s="2"/>
      <c r="X760" s="2"/>
      <c r="Y760" s="2"/>
    </row>
    <row r="761" spans="2:25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P761" s="2"/>
      <c r="Q761" s="2"/>
      <c r="T761" s="2"/>
      <c r="U761" s="2"/>
      <c r="V761" s="2"/>
      <c r="W761" s="2"/>
      <c r="X761" s="2"/>
      <c r="Y761" s="2"/>
    </row>
    <row r="762" spans="2:25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P762" s="2"/>
      <c r="Q762" s="2"/>
      <c r="T762" s="2"/>
      <c r="U762" s="2"/>
      <c r="V762" s="2"/>
      <c r="W762" s="2"/>
      <c r="X762" s="2"/>
      <c r="Y762" s="2"/>
    </row>
    <row r="763" spans="2:25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P763" s="2"/>
      <c r="Q763" s="2"/>
      <c r="T763" s="2"/>
      <c r="U763" s="2"/>
      <c r="V763" s="2"/>
      <c r="W763" s="2"/>
      <c r="X763" s="2"/>
      <c r="Y763" s="2"/>
    </row>
    <row r="764" spans="2:25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P764" s="2"/>
      <c r="Q764" s="2"/>
      <c r="T764" s="2"/>
      <c r="U764" s="2"/>
      <c r="V764" s="2"/>
      <c r="W764" s="2"/>
      <c r="X764" s="2"/>
      <c r="Y764" s="2"/>
    </row>
    <row r="765" spans="2:25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P765" s="2"/>
      <c r="Q765" s="2"/>
      <c r="T765" s="2"/>
      <c r="U765" s="2"/>
      <c r="V765" s="2"/>
      <c r="W765" s="2"/>
      <c r="X765" s="2"/>
      <c r="Y765" s="2"/>
    </row>
    <row r="766" spans="2:25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P766" s="2"/>
      <c r="Q766" s="2"/>
      <c r="T766" s="2"/>
      <c r="U766" s="2"/>
      <c r="V766" s="2"/>
      <c r="W766" s="2"/>
      <c r="X766" s="2"/>
      <c r="Y766" s="2"/>
    </row>
    <row r="767" spans="2:25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P767" s="2"/>
      <c r="Q767" s="2"/>
      <c r="T767" s="2"/>
      <c r="U767" s="2"/>
      <c r="V767" s="2"/>
      <c r="W767" s="2"/>
      <c r="X767" s="2"/>
      <c r="Y767" s="2"/>
    </row>
    <row r="768" spans="2:25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P768" s="2"/>
      <c r="Q768" s="2"/>
      <c r="T768" s="2"/>
      <c r="U768" s="2"/>
      <c r="V768" s="2"/>
      <c r="W768" s="2"/>
      <c r="X768" s="2"/>
      <c r="Y768" s="2"/>
    </row>
    <row r="769" spans="2:25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P769" s="2"/>
      <c r="Q769" s="2"/>
      <c r="T769" s="2"/>
      <c r="U769" s="2"/>
      <c r="V769" s="2"/>
      <c r="W769" s="2"/>
      <c r="X769" s="2"/>
      <c r="Y769" s="2"/>
    </row>
    <row r="770" spans="2:25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P770" s="2"/>
      <c r="Q770" s="2"/>
      <c r="T770" s="2"/>
      <c r="U770" s="2"/>
      <c r="V770" s="2"/>
      <c r="W770" s="2"/>
      <c r="X770" s="2"/>
      <c r="Y770" s="2"/>
    </row>
    <row r="771" spans="2:25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P771" s="2"/>
      <c r="Q771" s="2"/>
      <c r="T771" s="2"/>
      <c r="U771" s="2"/>
      <c r="V771" s="2"/>
      <c r="W771" s="2"/>
      <c r="X771" s="2"/>
      <c r="Y771" s="2"/>
    </row>
    <row r="772" spans="2:25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P772" s="2"/>
      <c r="Q772" s="2"/>
      <c r="T772" s="2"/>
      <c r="U772" s="2"/>
      <c r="V772" s="2"/>
      <c r="W772" s="2"/>
      <c r="X772" s="2"/>
      <c r="Y772" s="2"/>
    </row>
    <row r="773" spans="2:25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P773" s="2"/>
      <c r="Q773" s="2"/>
      <c r="T773" s="2"/>
      <c r="U773" s="2"/>
      <c r="V773" s="2"/>
      <c r="W773" s="2"/>
      <c r="X773" s="2"/>
      <c r="Y773" s="2"/>
    </row>
    <row r="774" spans="2:25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P774" s="2"/>
      <c r="Q774" s="2"/>
      <c r="T774" s="2"/>
      <c r="U774" s="2"/>
      <c r="V774" s="2"/>
      <c r="W774" s="2"/>
      <c r="X774" s="2"/>
      <c r="Y774" s="2"/>
    </row>
    <row r="775" spans="2:25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P775" s="2"/>
      <c r="Q775" s="2"/>
      <c r="T775" s="2"/>
      <c r="U775" s="2"/>
      <c r="V775" s="2"/>
      <c r="W775" s="2"/>
      <c r="X775" s="2"/>
      <c r="Y775" s="2"/>
    </row>
    <row r="776" spans="2:25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P776" s="2"/>
      <c r="Q776" s="2"/>
      <c r="T776" s="2"/>
      <c r="U776" s="2"/>
      <c r="V776" s="2"/>
      <c r="W776" s="2"/>
      <c r="X776" s="2"/>
      <c r="Y776" s="2"/>
    </row>
    <row r="777" spans="2:25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P777" s="2"/>
      <c r="Q777" s="2"/>
      <c r="T777" s="2"/>
      <c r="U777" s="2"/>
      <c r="V777" s="2"/>
      <c r="W777" s="2"/>
      <c r="X777" s="2"/>
      <c r="Y777" s="2"/>
    </row>
    <row r="778" spans="2:25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P778" s="2"/>
      <c r="Q778" s="2"/>
      <c r="T778" s="2"/>
      <c r="U778" s="2"/>
      <c r="V778" s="2"/>
      <c r="W778" s="2"/>
      <c r="X778" s="2"/>
      <c r="Y778" s="2"/>
    </row>
    <row r="779" spans="2:25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P779" s="2"/>
      <c r="Q779" s="2"/>
      <c r="T779" s="2"/>
      <c r="U779" s="2"/>
      <c r="V779" s="2"/>
      <c r="W779" s="2"/>
      <c r="X779" s="2"/>
      <c r="Y779" s="2"/>
    </row>
    <row r="780" spans="2:25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P780" s="2"/>
      <c r="Q780" s="2"/>
      <c r="T780" s="2"/>
      <c r="U780" s="2"/>
      <c r="V780" s="2"/>
      <c r="W780" s="2"/>
      <c r="X780" s="2"/>
      <c r="Y780" s="2"/>
    </row>
    <row r="781" spans="2:25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P781" s="2"/>
      <c r="Q781" s="2"/>
      <c r="T781" s="2"/>
      <c r="U781" s="2"/>
      <c r="V781" s="2"/>
      <c r="W781" s="2"/>
      <c r="X781" s="2"/>
      <c r="Y781" s="2"/>
    </row>
    <row r="782" spans="2:25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P782" s="2"/>
      <c r="Q782" s="2"/>
      <c r="T782" s="2"/>
      <c r="U782" s="2"/>
      <c r="V782" s="2"/>
      <c r="W782" s="2"/>
      <c r="X782" s="2"/>
      <c r="Y782" s="2"/>
    </row>
    <row r="783" spans="2:25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P783" s="2"/>
      <c r="Q783" s="2"/>
      <c r="T783" s="2"/>
      <c r="U783" s="2"/>
      <c r="V783" s="2"/>
      <c r="W783" s="2"/>
      <c r="X783" s="2"/>
      <c r="Y783" s="2"/>
    </row>
    <row r="784" spans="2:25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P784" s="2"/>
      <c r="Q784" s="2"/>
      <c r="T784" s="2"/>
      <c r="U784" s="2"/>
      <c r="V784" s="2"/>
      <c r="W784" s="2"/>
      <c r="X784" s="2"/>
      <c r="Y784" s="2"/>
    </row>
    <row r="785" spans="2:25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P785" s="2"/>
      <c r="Q785" s="2"/>
      <c r="T785" s="2"/>
      <c r="U785" s="2"/>
      <c r="V785" s="2"/>
      <c r="W785" s="2"/>
      <c r="X785" s="2"/>
      <c r="Y785" s="2"/>
    </row>
    <row r="786" spans="2:25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P786" s="2"/>
      <c r="Q786" s="2"/>
      <c r="T786" s="2"/>
      <c r="U786" s="2"/>
      <c r="V786" s="2"/>
      <c r="W786" s="2"/>
      <c r="X786" s="2"/>
      <c r="Y786" s="2"/>
    </row>
    <row r="787" spans="2:25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P787" s="2"/>
      <c r="Q787" s="2"/>
      <c r="T787" s="2"/>
      <c r="U787" s="2"/>
      <c r="V787" s="2"/>
      <c r="W787" s="2"/>
      <c r="X787" s="2"/>
      <c r="Y787" s="2"/>
    </row>
    <row r="788" spans="2:25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P788" s="2"/>
      <c r="Q788" s="2"/>
      <c r="T788" s="2"/>
      <c r="U788" s="2"/>
      <c r="V788" s="2"/>
      <c r="W788" s="2"/>
      <c r="X788" s="2"/>
      <c r="Y788" s="2"/>
    </row>
    <row r="789" spans="2:25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P789" s="2"/>
      <c r="Q789" s="2"/>
      <c r="T789" s="2"/>
      <c r="U789" s="2"/>
      <c r="V789" s="2"/>
      <c r="W789" s="2"/>
      <c r="X789" s="2"/>
      <c r="Y789" s="2"/>
    </row>
    <row r="790" spans="2:25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P790" s="2"/>
      <c r="Q790" s="2"/>
      <c r="T790" s="2"/>
      <c r="U790" s="2"/>
      <c r="V790" s="2"/>
      <c r="W790" s="2"/>
      <c r="X790" s="2"/>
      <c r="Y790" s="2"/>
    </row>
    <row r="791" spans="2:25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P791" s="2"/>
      <c r="Q791" s="2"/>
      <c r="T791" s="2"/>
      <c r="U791" s="2"/>
      <c r="V791" s="2"/>
      <c r="W791" s="2"/>
      <c r="X791" s="2"/>
      <c r="Y791" s="2"/>
    </row>
    <row r="792" spans="2:25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P792" s="2"/>
      <c r="Q792" s="2"/>
      <c r="T792" s="2"/>
      <c r="U792" s="2"/>
      <c r="V792" s="2"/>
      <c r="W792" s="2"/>
      <c r="X792" s="2"/>
      <c r="Y792" s="2"/>
    </row>
    <row r="793" spans="2:25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P793" s="2"/>
      <c r="Q793" s="2"/>
      <c r="T793" s="2"/>
      <c r="U793" s="2"/>
      <c r="V793" s="2"/>
      <c r="W793" s="2"/>
      <c r="X793" s="2"/>
      <c r="Y793" s="2"/>
    </row>
    <row r="794" spans="2:25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P794" s="2"/>
      <c r="Q794" s="2"/>
      <c r="T794" s="2"/>
      <c r="U794" s="2"/>
      <c r="V794" s="2"/>
      <c r="W794" s="2"/>
      <c r="X794" s="2"/>
      <c r="Y794" s="2"/>
    </row>
    <row r="795" spans="2:25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P795" s="2"/>
      <c r="Q795" s="2"/>
      <c r="T795" s="2"/>
      <c r="U795" s="2"/>
      <c r="V795" s="2"/>
      <c r="W795" s="2"/>
      <c r="X795" s="2"/>
      <c r="Y795" s="2"/>
    </row>
    <row r="796" spans="2:25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P796" s="2"/>
      <c r="Q796" s="2"/>
      <c r="T796" s="2"/>
      <c r="U796" s="2"/>
      <c r="V796" s="2"/>
      <c r="W796" s="2"/>
      <c r="X796" s="2"/>
      <c r="Y796" s="2"/>
    </row>
    <row r="797" spans="2:25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P797" s="2"/>
      <c r="Q797" s="2"/>
      <c r="T797" s="2"/>
      <c r="U797" s="2"/>
      <c r="V797" s="2"/>
      <c r="W797" s="2"/>
      <c r="X797" s="2"/>
      <c r="Y797" s="2"/>
    </row>
    <row r="798" spans="2:25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P798" s="2"/>
      <c r="Q798" s="2"/>
      <c r="T798" s="2"/>
      <c r="U798" s="2"/>
      <c r="V798" s="2"/>
      <c r="W798" s="2"/>
      <c r="X798" s="2"/>
      <c r="Y798" s="2"/>
    </row>
    <row r="799" spans="2:25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P799" s="2"/>
      <c r="Q799" s="2"/>
      <c r="T799" s="2"/>
      <c r="U799" s="2"/>
      <c r="V799" s="2"/>
      <c r="W799" s="2"/>
      <c r="X799" s="2"/>
      <c r="Y799" s="2"/>
    </row>
  </sheetData>
  <sheetProtection/>
  <printOptions/>
  <pageMargins left="0.5" right="0.25" top="0.75" bottom="0.5" header="0" footer="0"/>
  <pageSetup fitToWidth="2" horizontalDpi="600" verticalDpi="600" orientation="portrait" scale="65" r:id="rId3"/>
  <headerFooter alignWithMargins="0">
    <oddHeader>&amp;RSTATEMENT AG-3
PAGE 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8"/>
  <sheetViews>
    <sheetView showOutlineSymbols="0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X183"/>
    </sheetView>
  </sheetViews>
  <sheetFormatPr defaultColWidth="12.7109375" defaultRowHeight="15"/>
  <cols>
    <col min="1" max="1" width="4.28125" style="3" customWidth="1"/>
    <col min="2" max="2" width="6.00390625" style="1" hidden="1" customWidth="1"/>
    <col min="3" max="3" width="56.140625" style="1" customWidth="1"/>
    <col min="4" max="4" width="14.57421875" style="1" customWidth="1"/>
    <col min="5" max="5" width="15.421875" style="1" customWidth="1"/>
    <col min="6" max="6" width="14.421875" style="1" hidden="1" customWidth="1"/>
    <col min="7" max="7" width="17.00390625" style="1" hidden="1" customWidth="1"/>
    <col min="8" max="8" width="16.7109375" style="1" hidden="1" customWidth="1"/>
    <col min="9" max="9" width="3.8515625" style="1" hidden="1" customWidth="1"/>
    <col min="10" max="13" width="16.7109375" style="1" hidden="1" customWidth="1"/>
    <col min="14" max="14" width="4.140625" style="1" customWidth="1"/>
    <col min="15" max="15" width="15.28125" style="1" customWidth="1"/>
    <col min="16" max="16" width="15.8515625" style="1" customWidth="1"/>
    <col min="17" max="18" width="15.140625" style="1" customWidth="1"/>
    <col min="19" max="19" width="2.57421875" style="1" customWidth="1"/>
    <col min="20" max="20" width="18.00390625" style="1" customWidth="1"/>
    <col min="21" max="21" width="16.00390625" style="1" customWidth="1"/>
    <col min="22" max="23" width="16.8515625" style="1" customWidth="1"/>
    <col min="24" max="16384" width="12.7109375" style="1" customWidth="1"/>
  </cols>
  <sheetData>
    <row r="1" spans="1:24" ht="15">
      <c r="A1" s="28"/>
      <c r="B1" s="29"/>
      <c r="C1" s="67" t="s">
        <v>453</v>
      </c>
      <c r="D1" s="68" t="s">
        <v>77</v>
      </c>
      <c r="E1" s="29"/>
      <c r="F1" s="29"/>
      <c r="G1" s="9"/>
      <c r="H1" s="30"/>
      <c r="I1" s="30"/>
      <c r="J1" s="30"/>
      <c r="K1" s="30"/>
      <c r="L1" s="30"/>
      <c r="M1" s="30"/>
      <c r="N1" s="30"/>
      <c r="O1" s="29"/>
      <c r="P1" s="29"/>
      <c r="Q1" s="29"/>
      <c r="R1" s="29"/>
      <c r="S1" s="9"/>
      <c r="T1" s="29"/>
      <c r="U1" s="29"/>
      <c r="V1" s="30"/>
      <c r="W1" s="30"/>
      <c r="X1" s="29"/>
    </row>
    <row r="2" spans="1:24" ht="15">
      <c r="A2" s="28"/>
      <c r="B2" s="29"/>
      <c r="C2" s="67" t="s">
        <v>1</v>
      </c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29"/>
      <c r="P2" s="29"/>
      <c r="Q2" s="29"/>
      <c r="R2" s="29"/>
      <c r="S2" s="9"/>
      <c r="T2" s="29"/>
      <c r="U2" s="29"/>
      <c r="V2" s="30"/>
      <c r="W2" s="30"/>
      <c r="X2" s="29"/>
    </row>
    <row r="3" spans="1:24" ht="15">
      <c r="A3" s="28"/>
      <c r="B3" s="29"/>
      <c r="C3" s="67" t="s">
        <v>658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9"/>
      <c r="T3" s="29"/>
      <c r="U3" s="29"/>
      <c r="V3" s="29"/>
      <c r="W3" s="29"/>
      <c r="X3" s="29"/>
    </row>
    <row r="4" spans="1:24" ht="15">
      <c r="A4" s="28"/>
      <c r="B4" s="29"/>
      <c r="C4" s="29"/>
      <c r="D4" s="29"/>
      <c r="E4" s="29"/>
      <c r="F4" s="29"/>
      <c r="G4" s="29"/>
      <c r="H4" s="69" t="s">
        <v>2</v>
      </c>
      <c r="I4" s="31"/>
      <c r="J4" s="31"/>
      <c r="K4" s="31"/>
      <c r="L4" s="31"/>
      <c r="M4" s="31"/>
      <c r="N4" s="31"/>
      <c r="O4" s="29"/>
      <c r="P4" s="29"/>
      <c r="Q4" s="29"/>
      <c r="R4" s="29"/>
      <c r="S4" s="9"/>
      <c r="T4" s="29"/>
      <c r="U4" s="29"/>
      <c r="V4" s="29"/>
      <c r="W4" s="29"/>
      <c r="X4" s="29"/>
    </row>
    <row r="5" spans="1:24" ht="15">
      <c r="A5" s="28"/>
      <c r="B5" s="29"/>
      <c r="C5" s="6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9"/>
      <c r="T5" s="29"/>
      <c r="U5" s="29"/>
      <c r="V5" s="29"/>
      <c r="W5" s="29"/>
      <c r="X5" s="29"/>
    </row>
    <row r="6" spans="1:24" ht="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9"/>
      <c r="T6" s="29"/>
      <c r="U6" s="29"/>
      <c r="V6" s="29"/>
      <c r="W6" s="29"/>
      <c r="X6" s="29"/>
    </row>
    <row r="7" spans="1:24" ht="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9"/>
      <c r="T7" s="29"/>
      <c r="U7" s="29"/>
      <c r="V7" s="29"/>
      <c r="W7" s="29"/>
      <c r="X7" s="29"/>
    </row>
    <row r="8" spans="1:24" ht="15">
      <c r="A8" s="28"/>
      <c r="B8" s="29"/>
      <c r="C8" s="70" t="s">
        <v>3</v>
      </c>
      <c r="D8" s="70" t="s">
        <v>4</v>
      </c>
      <c r="E8" s="70" t="s">
        <v>5</v>
      </c>
      <c r="F8" s="70" t="s">
        <v>6</v>
      </c>
      <c r="G8" s="70" t="s">
        <v>7</v>
      </c>
      <c r="H8" s="70" t="s">
        <v>8</v>
      </c>
      <c r="I8" s="70"/>
      <c r="J8" s="71" t="s">
        <v>9</v>
      </c>
      <c r="K8" s="71" t="s">
        <v>10</v>
      </c>
      <c r="L8" s="71" t="s">
        <v>11</v>
      </c>
      <c r="M8" s="71" t="s">
        <v>12</v>
      </c>
      <c r="N8" s="70"/>
      <c r="O8" s="71" t="s">
        <v>13</v>
      </c>
      <c r="P8" s="71" t="s">
        <v>14</v>
      </c>
      <c r="Q8" s="71" t="s">
        <v>15</v>
      </c>
      <c r="R8" s="71" t="s">
        <v>16</v>
      </c>
      <c r="S8" s="9"/>
      <c r="T8" s="71" t="s">
        <v>17</v>
      </c>
      <c r="U8" s="71" t="s">
        <v>230</v>
      </c>
      <c r="V8" s="71" t="s">
        <v>231</v>
      </c>
      <c r="W8" s="71" t="s">
        <v>232</v>
      </c>
      <c r="X8" s="29"/>
    </row>
    <row r="9" spans="1:24" ht="1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9"/>
      <c r="T9" s="29"/>
      <c r="U9" s="29"/>
      <c r="V9" s="29"/>
      <c r="W9" s="29"/>
      <c r="X9" s="29"/>
    </row>
    <row r="10" spans="1:24" ht="15">
      <c r="A10" s="28"/>
      <c r="B10" s="29"/>
      <c r="C10" s="29"/>
      <c r="D10" s="33" t="s">
        <v>18</v>
      </c>
      <c r="E10" s="33"/>
      <c r="F10" s="72" t="s">
        <v>19</v>
      </c>
      <c r="G10" s="33"/>
      <c r="H10" s="35" t="s">
        <v>20</v>
      </c>
      <c r="I10" s="35"/>
      <c r="J10" s="36" t="s">
        <v>21</v>
      </c>
      <c r="K10" s="33"/>
      <c r="L10" s="33"/>
      <c r="M10" s="33"/>
      <c r="N10" s="35"/>
      <c r="O10" s="36" t="s">
        <v>22</v>
      </c>
      <c r="P10" s="33"/>
      <c r="Q10" s="33"/>
      <c r="R10" s="33"/>
      <c r="S10" s="9"/>
      <c r="T10" s="36" t="s">
        <v>659</v>
      </c>
      <c r="U10" s="33"/>
      <c r="V10" s="33"/>
      <c r="W10" s="33"/>
      <c r="X10" s="29"/>
    </row>
    <row r="11" spans="1:24" ht="15">
      <c r="A11" s="28"/>
      <c r="B11" s="29"/>
      <c r="C11" s="29"/>
      <c r="D11" s="38"/>
      <c r="E11" s="38"/>
      <c r="F11" s="29"/>
      <c r="G11" s="29"/>
      <c r="H11" s="35" t="s">
        <v>23</v>
      </c>
      <c r="I11" s="35"/>
      <c r="J11" s="38"/>
      <c r="K11" s="38"/>
      <c r="L11" s="38"/>
      <c r="M11" s="38"/>
      <c r="N11" s="35"/>
      <c r="O11" s="38"/>
      <c r="P11" s="38"/>
      <c r="Q11" s="38"/>
      <c r="R11" s="38"/>
      <c r="S11" s="9"/>
      <c r="T11" s="38"/>
      <c r="U11" s="38"/>
      <c r="V11" s="38"/>
      <c r="W11" s="38"/>
      <c r="X11" s="29"/>
    </row>
    <row r="12" spans="1:24" ht="15">
      <c r="A12" s="28"/>
      <c r="B12" s="73" t="s">
        <v>454</v>
      </c>
      <c r="C12" s="29"/>
      <c r="D12" s="35" t="s">
        <v>24</v>
      </c>
      <c r="E12" s="35" t="s">
        <v>24</v>
      </c>
      <c r="F12" s="35" t="s">
        <v>24</v>
      </c>
      <c r="G12" s="35" t="s">
        <v>24</v>
      </c>
      <c r="H12" s="35" t="s">
        <v>25</v>
      </c>
      <c r="I12" s="35"/>
      <c r="J12" s="29"/>
      <c r="K12" s="29"/>
      <c r="L12" s="29"/>
      <c r="M12" s="29"/>
      <c r="N12" s="35"/>
      <c r="O12" s="29"/>
      <c r="P12" s="29"/>
      <c r="Q12" s="29"/>
      <c r="R12" s="29"/>
      <c r="S12" s="9"/>
      <c r="T12" s="29"/>
      <c r="U12" s="29"/>
      <c r="V12" s="29"/>
      <c r="W12" s="29"/>
      <c r="X12" s="29"/>
    </row>
    <row r="13" spans="1:24" ht="15">
      <c r="A13" s="28"/>
      <c r="B13" s="74" t="s">
        <v>455</v>
      </c>
      <c r="C13" s="70" t="s">
        <v>26</v>
      </c>
      <c r="D13" s="70" t="s">
        <v>27</v>
      </c>
      <c r="E13" s="70" t="s">
        <v>660</v>
      </c>
      <c r="F13" s="70" t="s">
        <v>27</v>
      </c>
      <c r="G13" s="70" t="s">
        <v>660</v>
      </c>
      <c r="H13" s="70" t="s">
        <v>28</v>
      </c>
      <c r="I13" s="70"/>
      <c r="J13" s="70" t="s">
        <v>29</v>
      </c>
      <c r="K13" s="70" t="s">
        <v>30</v>
      </c>
      <c r="L13" s="70" t="s">
        <v>31</v>
      </c>
      <c r="M13" s="70" t="s">
        <v>456</v>
      </c>
      <c r="N13" s="70"/>
      <c r="O13" s="70" t="s">
        <v>29</v>
      </c>
      <c r="P13" s="70" t="s">
        <v>30</v>
      </c>
      <c r="Q13" s="70" t="s">
        <v>31</v>
      </c>
      <c r="R13" s="70" t="s">
        <v>456</v>
      </c>
      <c r="S13" s="9"/>
      <c r="T13" s="70" t="s">
        <v>29</v>
      </c>
      <c r="U13" s="70" t="s">
        <v>30</v>
      </c>
      <c r="V13" s="70" t="s">
        <v>31</v>
      </c>
      <c r="W13" s="70" t="s">
        <v>456</v>
      </c>
      <c r="X13" s="29"/>
    </row>
    <row r="14" spans="1:24" ht="15">
      <c r="A14" s="7"/>
      <c r="B14" s="9"/>
      <c r="C14" s="9"/>
      <c r="D14" s="75" t="s">
        <v>77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9"/>
    </row>
    <row r="15" spans="1:24" ht="15">
      <c r="A15" s="7"/>
      <c r="B15" s="9"/>
      <c r="C15" s="19" t="s">
        <v>32</v>
      </c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9"/>
    </row>
    <row r="16" spans="1:24" ht="15">
      <c r="A16" s="7"/>
      <c r="B16" s="9"/>
      <c r="C16" s="1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9"/>
    </row>
    <row r="17" spans="1:24" ht="15">
      <c r="A17" s="22">
        <v>1</v>
      </c>
      <c r="B17" s="19" t="s">
        <v>457</v>
      </c>
      <c r="C17" s="76" t="s">
        <v>458</v>
      </c>
      <c r="D17" s="20">
        <f>SUM(O17:R17)</f>
        <v>320722124.1</v>
      </c>
      <c r="E17" s="20">
        <f>SUM(T17:W17)</f>
        <v>0</v>
      </c>
      <c r="F17" s="20"/>
      <c r="G17" s="20"/>
      <c r="H17" s="20">
        <f>ROUND(SUM(D17:G17)/2,0)</f>
        <v>160361062</v>
      </c>
      <c r="I17" s="20"/>
      <c r="J17" s="20">
        <f aca="true" t="shared" si="0" ref="J17:M18">(+O17+T17)/2</f>
        <v>160361062.05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/>
      <c r="O17" s="20">
        <v>320722124.1</v>
      </c>
      <c r="P17" s="20">
        <v>0</v>
      </c>
      <c r="Q17" s="20">
        <v>0</v>
      </c>
      <c r="R17" s="20">
        <v>0</v>
      </c>
      <c r="S17" s="20"/>
      <c r="T17" s="20">
        <v>0</v>
      </c>
      <c r="U17" s="20">
        <v>0</v>
      </c>
      <c r="V17" s="20">
        <v>0</v>
      </c>
      <c r="W17" s="20">
        <v>0</v>
      </c>
      <c r="X17" s="77"/>
    </row>
    <row r="18" spans="1:24" ht="15">
      <c r="A18" s="22">
        <f aca="true" t="shared" si="1" ref="A18:A81">A17+1</f>
        <v>2</v>
      </c>
      <c r="B18" s="19" t="s">
        <v>459</v>
      </c>
      <c r="C18" s="40" t="s">
        <v>460</v>
      </c>
      <c r="D18" s="20">
        <f>SUM(O18:R18)</f>
        <v>55935615.45</v>
      </c>
      <c r="E18" s="20">
        <f>SUM(T18:W18)</f>
        <v>0</v>
      </c>
      <c r="F18" s="20"/>
      <c r="G18" s="20"/>
      <c r="H18" s="20">
        <f>ROUND(SUM(D18:G18)/2,0)</f>
        <v>27967808</v>
      </c>
      <c r="I18" s="20"/>
      <c r="J18" s="20">
        <f t="shared" si="0"/>
        <v>27967807.725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/>
      <c r="O18" s="20">
        <v>55935615.45</v>
      </c>
      <c r="P18" s="20">
        <v>0</v>
      </c>
      <c r="Q18" s="20">
        <v>0</v>
      </c>
      <c r="R18" s="20">
        <v>0</v>
      </c>
      <c r="S18" s="20"/>
      <c r="T18" s="20">
        <v>0</v>
      </c>
      <c r="U18" s="20">
        <v>0</v>
      </c>
      <c r="V18" s="20">
        <v>0</v>
      </c>
      <c r="W18" s="20">
        <v>0</v>
      </c>
      <c r="X18" s="29"/>
    </row>
    <row r="19" spans="1:24" ht="15">
      <c r="A19" s="22">
        <f t="shared" si="1"/>
        <v>3</v>
      </c>
      <c r="B19" s="9"/>
      <c r="C19" s="40" t="s">
        <v>34</v>
      </c>
      <c r="D19" s="20">
        <v>0</v>
      </c>
      <c r="E19" s="20">
        <v>0</v>
      </c>
      <c r="F19" s="20">
        <f aca="true" t="shared" si="2" ref="F19:G21">-D19</f>
        <v>0</v>
      </c>
      <c r="G19" s="20">
        <f t="shared" si="2"/>
        <v>0</v>
      </c>
      <c r="H19" s="20">
        <f>ROUND(SUM(D19:G19)/2,0)</f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9"/>
    </row>
    <row r="20" spans="1:24" ht="15">
      <c r="A20" s="22">
        <f t="shared" si="1"/>
        <v>4</v>
      </c>
      <c r="B20" s="9"/>
      <c r="C20" s="40" t="s">
        <v>35</v>
      </c>
      <c r="D20" s="20">
        <v>0</v>
      </c>
      <c r="E20" s="20">
        <v>0</v>
      </c>
      <c r="F20" s="20">
        <f t="shared" si="2"/>
        <v>0</v>
      </c>
      <c r="G20" s="20">
        <f t="shared" si="2"/>
        <v>0</v>
      </c>
      <c r="H20" s="20">
        <f>ROUND(SUM(D20:G20)/2,0)</f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9"/>
    </row>
    <row r="21" spans="1:24" ht="15">
      <c r="A21" s="22">
        <f t="shared" si="1"/>
        <v>5</v>
      </c>
      <c r="B21" s="9"/>
      <c r="C21" s="40" t="s">
        <v>36</v>
      </c>
      <c r="D21" s="20">
        <v>0</v>
      </c>
      <c r="E21" s="20">
        <v>0</v>
      </c>
      <c r="F21" s="20">
        <f t="shared" si="2"/>
        <v>0</v>
      </c>
      <c r="G21" s="20">
        <f t="shared" si="2"/>
        <v>0</v>
      </c>
      <c r="H21" s="20">
        <f>ROUND(SUM(D21:G21)/2,0)</f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">
      <c r="A22" s="22">
        <f t="shared" si="1"/>
        <v>6</v>
      </c>
      <c r="B22" s="9"/>
      <c r="C22" s="4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.75" thickBot="1">
      <c r="A23" s="22">
        <f t="shared" si="1"/>
        <v>7</v>
      </c>
      <c r="B23" s="19"/>
      <c r="C23" s="19" t="s">
        <v>37</v>
      </c>
      <c r="D23" s="23">
        <f>SUM(D17:D22)</f>
        <v>376657739.55</v>
      </c>
      <c r="E23" s="23">
        <f>SUM(E17:E22)</f>
        <v>0</v>
      </c>
      <c r="F23" s="23">
        <f>SUM(F17:F22)</f>
        <v>0</v>
      </c>
      <c r="G23" s="23">
        <f>SUM(G17:G22)</f>
        <v>0</v>
      </c>
      <c r="H23" s="23">
        <f>SUM(H17:H22)</f>
        <v>188328870</v>
      </c>
      <c r="I23" s="23"/>
      <c r="J23" s="23">
        <f>SUM(J17:J22)</f>
        <v>188328869.775</v>
      </c>
      <c r="K23" s="23">
        <f>SUM(K17:K22)</f>
        <v>0</v>
      </c>
      <c r="L23" s="23">
        <f>SUM(L17:L22)</f>
        <v>0</v>
      </c>
      <c r="M23" s="23">
        <f>SUM(M17:M22)</f>
        <v>0</v>
      </c>
      <c r="N23" s="23"/>
      <c r="O23" s="23">
        <f>SUM(O17:O22)</f>
        <v>376657739.55</v>
      </c>
      <c r="P23" s="23">
        <f>SUM(P17:P22)</f>
        <v>0</v>
      </c>
      <c r="Q23" s="23">
        <f>SUM(Q17:Q22)</f>
        <v>0</v>
      </c>
      <c r="R23" s="23">
        <f>SUM(R17:R22)</f>
        <v>0</v>
      </c>
      <c r="S23" s="20"/>
      <c r="T23" s="23">
        <f>SUM(T17:T22)</f>
        <v>0</v>
      </c>
      <c r="U23" s="23">
        <f>SUM(U17:U22)</f>
        <v>0</v>
      </c>
      <c r="V23" s="23">
        <f>SUM(V17:V22)</f>
        <v>0</v>
      </c>
      <c r="W23" s="23">
        <f>SUM(W17:W22)</f>
        <v>0</v>
      </c>
      <c r="X23" s="29"/>
    </row>
    <row r="24" spans="1:24" ht="15.75" thickTop="1">
      <c r="A24" s="22">
        <f t="shared" si="1"/>
        <v>8</v>
      </c>
      <c r="B24" s="9"/>
      <c r="C24" s="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0"/>
      <c r="T24" s="24"/>
      <c r="U24" s="24"/>
      <c r="V24" s="24"/>
      <c r="W24" s="24"/>
      <c r="X24" s="29"/>
    </row>
    <row r="25" spans="1:24" ht="15">
      <c r="A25" s="22">
        <f t="shared" si="1"/>
        <v>9</v>
      </c>
      <c r="B25" s="9"/>
      <c r="C25" s="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9"/>
    </row>
    <row r="26" spans="1:24" ht="15">
      <c r="A26" s="22">
        <f t="shared" si="1"/>
        <v>10</v>
      </c>
      <c r="B26" s="9"/>
      <c r="C26" s="10" t="s">
        <v>38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8" t="s">
        <v>77</v>
      </c>
      <c r="P26" s="20"/>
      <c r="Q26" s="78" t="s">
        <v>77</v>
      </c>
      <c r="R26" s="78"/>
      <c r="S26" s="20"/>
      <c r="T26" s="78" t="s">
        <v>77</v>
      </c>
      <c r="U26" s="20"/>
      <c r="V26" s="78" t="s">
        <v>77</v>
      </c>
      <c r="W26" s="78"/>
      <c r="X26" s="29"/>
    </row>
    <row r="27" spans="1:24" ht="15">
      <c r="A27" s="22">
        <f t="shared" si="1"/>
        <v>11</v>
      </c>
      <c r="B27" s="9"/>
      <c r="C27" s="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9"/>
    </row>
    <row r="28" spans="1:24" ht="15">
      <c r="A28" s="22">
        <f t="shared" si="1"/>
        <v>12</v>
      </c>
      <c r="B28" s="19" t="s">
        <v>461</v>
      </c>
      <c r="C28" s="40" t="s">
        <v>401</v>
      </c>
      <c r="D28" s="20">
        <f aca="true" t="shared" si="3" ref="D28:D57">SUM(O28:R28)</f>
        <v>-64.75</v>
      </c>
      <c r="E28" s="20">
        <f aca="true" t="shared" si="4" ref="E28:E57">SUM(T28:W28)</f>
        <v>-64.75</v>
      </c>
      <c r="F28" s="20"/>
      <c r="G28" s="20"/>
      <c r="H28" s="20">
        <f aca="true" t="shared" si="5" ref="H28:H61">ROUND(SUM(D28:G28)/2,0)</f>
        <v>-65</v>
      </c>
      <c r="I28" s="20"/>
      <c r="J28" s="20">
        <f>(+O28+T28)/2</f>
        <v>0</v>
      </c>
      <c r="K28" s="20">
        <f>(+P28+U28)/2</f>
        <v>-23.85</v>
      </c>
      <c r="L28" s="20">
        <f>(+Q28+V28)/2</f>
        <v>-40.9</v>
      </c>
      <c r="M28" s="20">
        <f aca="true" t="shared" si="6" ref="M28:M57">(+R28+W28)/2</f>
        <v>0</v>
      </c>
      <c r="N28" s="20"/>
      <c r="O28" s="20">
        <v>0</v>
      </c>
      <c r="P28" s="20">
        <v>-23.85</v>
      </c>
      <c r="Q28" s="20">
        <v>-40.9</v>
      </c>
      <c r="R28" s="20">
        <v>0</v>
      </c>
      <c r="S28" s="20"/>
      <c r="T28" s="20">
        <v>0</v>
      </c>
      <c r="U28" s="20">
        <v>-23.85</v>
      </c>
      <c r="V28" s="20">
        <v>-40.9</v>
      </c>
      <c r="W28" s="20">
        <v>0</v>
      </c>
      <c r="X28" s="29"/>
    </row>
    <row r="29" spans="1:24" ht="15">
      <c r="A29" s="22">
        <f t="shared" si="1"/>
        <v>13</v>
      </c>
      <c r="B29" s="19" t="s">
        <v>77</v>
      </c>
      <c r="C29" s="40" t="s">
        <v>445</v>
      </c>
      <c r="D29" s="20">
        <f t="shared" si="3"/>
        <v>1054146870.5099999</v>
      </c>
      <c r="E29" s="20">
        <f t="shared" si="4"/>
        <v>612638829.24</v>
      </c>
      <c r="F29" s="25" t="s">
        <v>77</v>
      </c>
      <c r="G29" s="20"/>
      <c r="H29" s="20">
        <f t="shared" si="5"/>
        <v>833392850</v>
      </c>
      <c r="I29" s="20"/>
      <c r="J29" s="20">
        <f aca="true" t="shared" si="7" ref="J29:L44">(+O29+T29)/2</f>
        <v>252353478.45499998</v>
      </c>
      <c r="K29" s="20">
        <f t="shared" si="7"/>
        <v>199286856.495</v>
      </c>
      <c r="L29" s="20">
        <f t="shared" si="7"/>
        <v>380469159.35</v>
      </c>
      <c r="M29" s="20">
        <f t="shared" si="6"/>
        <v>1283355.5750000002</v>
      </c>
      <c r="N29" s="20"/>
      <c r="O29" s="20">
        <f>-1+26.35+0.36-1039.64-0.74-0.5+226633.15-226633+386853797.1+60843641.25+57508604.15-498070.6+0.07-0.04</f>
        <v>504706956.90999997</v>
      </c>
      <c r="P29" s="20">
        <f>-251.63+989+88.56+0.26+4712.62+544.73+8111.94+491.66+12224.41+185777711.95+707010.32+3076.3-4687</f>
        <v>186510023.12</v>
      </c>
      <c r="Q29" s="20">
        <f>6726.08-4006+636.98+0.01+26308.8-2468.43+68512.38+0.19+2508.88+54245.99+360156326.5+54387.95</f>
        <v>360363179.33</v>
      </c>
      <c r="R29" s="20">
        <f>-1562140.22+4128851.37</f>
        <v>2566711.1500000004</v>
      </c>
      <c r="S29" s="20"/>
      <c r="T29" s="20">
        <v>0</v>
      </c>
      <c r="U29" s="20">
        <f>-578.63+989+82.51+0.26+4712.62+544.73+8111.94+491.66+12224.41+211325034.8+671161.32+45607.25-4692</f>
        <v>212063689.87</v>
      </c>
      <c r="V29" s="20">
        <f>5543.08-4006+597.07+0.01+26308.8-2468.43+68512.38+0.19+2701.73+54052.99+400354143.6+69753.95</f>
        <v>400575139.37</v>
      </c>
      <c r="W29" s="20">
        <v>0</v>
      </c>
      <c r="X29" s="29"/>
    </row>
    <row r="30" spans="1:24" ht="15">
      <c r="A30" s="22">
        <f t="shared" si="1"/>
        <v>14</v>
      </c>
      <c r="B30" s="19" t="s">
        <v>462</v>
      </c>
      <c r="C30" s="19" t="s">
        <v>242</v>
      </c>
      <c r="D30" s="20">
        <f t="shared" si="3"/>
        <v>6548234.4</v>
      </c>
      <c r="E30" s="20">
        <f t="shared" si="4"/>
        <v>3232282.95</v>
      </c>
      <c r="F30" s="20"/>
      <c r="G30" s="20"/>
      <c r="H30" s="20">
        <f t="shared" si="5"/>
        <v>4890259</v>
      </c>
      <c r="I30" s="20"/>
      <c r="J30" s="20">
        <f t="shared" si="7"/>
        <v>1657975.725</v>
      </c>
      <c r="K30" s="20">
        <f t="shared" si="7"/>
        <v>1230483.3</v>
      </c>
      <c r="L30" s="20">
        <f t="shared" si="7"/>
        <v>2001799.65</v>
      </c>
      <c r="M30" s="20">
        <f t="shared" si="6"/>
        <v>0</v>
      </c>
      <c r="N30" s="20"/>
      <c r="O30" s="20">
        <v>3315951.45</v>
      </c>
      <c r="P30" s="20">
        <v>1230483.3</v>
      </c>
      <c r="Q30" s="20">
        <v>2001799.65</v>
      </c>
      <c r="R30" s="20">
        <v>0</v>
      </c>
      <c r="S30" s="20"/>
      <c r="T30" s="20">
        <v>0</v>
      </c>
      <c r="U30" s="20">
        <v>1230483.3</v>
      </c>
      <c r="V30" s="20">
        <v>2001799.65</v>
      </c>
      <c r="W30" s="20">
        <v>0</v>
      </c>
      <c r="X30" s="29"/>
    </row>
    <row r="31" spans="1:24" ht="15">
      <c r="A31" s="22">
        <f t="shared" si="1"/>
        <v>15</v>
      </c>
      <c r="B31" s="19" t="s">
        <v>463</v>
      </c>
      <c r="C31" s="19" t="s">
        <v>464</v>
      </c>
      <c r="D31" s="20">
        <f t="shared" si="3"/>
        <v>1916302.17</v>
      </c>
      <c r="E31" s="20">
        <f t="shared" si="4"/>
        <v>798923.2</v>
      </c>
      <c r="F31" s="20"/>
      <c r="G31" s="20"/>
      <c r="H31" s="20">
        <f t="shared" si="5"/>
        <v>1357613</v>
      </c>
      <c r="I31" s="20"/>
      <c r="J31" s="20">
        <f t="shared" si="7"/>
        <v>448848.785</v>
      </c>
      <c r="K31" s="20">
        <f t="shared" si="7"/>
        <v>261732.555</v>
      </c>
      <c r="L31" s="20">
        <f t="shared" si="7"/>
        <v>647031.345</v>
      </c>
      <c r="M31" s="20">
        <f t="shared" si="6"/>
        <v>0</v>
      </c>
      <c r="N31" s="20"/>
      <c r="O31" s="20">
        <v>897697.57</v>
      </c>
      <c r="P31" s="20">
        <v>291641.98</v>
      </c>
      <c r="Q31" s="20">
        <v>726962.62</v>
      </c>
      <c r="R31" s="20">
        <v>0</v>
      </c>
      <c r="S31" s="20"/>
      <c r="T31" s="20">
        <v>0</v>
      </c>
      <c r="U31" s="20">
        <v>231823.13</v>
      </c>
      <c r="V31" s="20">
        <v>567100.07</v>
      </c>
      <c r="W31" s="20">
        <v>0</v>
      </c>
      <c r="X31" s="29"/>
    </row>
    <row r="32" spans="1:24" ht="15">
      <c r="A32" s="22">
        <f t="shared" si="1"/>
        <v>16</v>
      </c>
      <c r="B32" s="19" t="s">
        <v>465</v>
      </c>
      <c r="C32" s="19" t="s">
        <v>466</v>
      </c>
      <c r="D32" s="20">
        <f t="shared" si="3"/>
        <v>1213587.91</v>
      </c>
      <c r="E32" s="20">
        <f t="shared" si="4"/>
        <v>998016.58</v>
      </c>
      <c r="F32" s="20"/>
      <c r="G32" s="20"/>
      <c r="H32" s="20">
        <f t="shared" si="5"/>
        <v>1105802</v>
      </c>
      <c r="I32" s="20"/>
      <c r="J32" s="20">
        <f t="shared" si="7"/>
        <v>0</v>
      </c>
      <c r="K32" s="20">
        <f t="shared" si="7"/>
        <v>0</v>
      </c>
      <c r="L32" s="20">
        <f t="shared" si="7"/>
        <v>1105802.2449999999</v>
      </c>
      <c r="M32" s="20">
        <f t="shared" si="6"/>
        <v>0</v>
      </c>
      <c r="N32" s="20"/>
      <c r="O32" s="20">
        <v>0</v>
      </c>
      <c r="P32" s="20">
        <v>0</v>
      </c>
      <c r="Q32" s="20">
        <v>1213587.91</v>
      </c>
      <c r="R32" s="20">
        <v>0</v>
      </c>
      <c r="S32" s="20"/>
      <c r="T32" s="20">
        <v>0</v>
      </c>
      <c r="U32" s="20">
        <v>0</v>
      </c>
      <c r="V32" s="20">
        <v>998016.58</v>
      </c>
      <c r="W32" s="20">
        <v>0</v>
      </c>
      <c r="X32" s="29"/>
    </row>
    <row r="33" spans="1:24" ht="15">
      <c r="A33" s="22">
        <f t="shared" si="1"/>
        <v>17</v>
      </c>
      <c r="B33" s="19" t="s">
        <v>467</v>
      </c>
      <c r="C33" s="19" t="s">
        <v>468</v>
      </c>
      <c r="D33" s="20">
        <f t="shared" si="3"/>
        <v>325238.05</v>
      </c>
      <c r="E33" s="20">
        <f t="shared" si="4"/>
        <v>238937.91</v>
      </c>
      <c r="F33" s="20"/>
      <c r="G33" s="20"/>
      <c r="H33" s="20">
        <f t="shared" si="5"/>
        <v>282088</v>
      </c>
      <c r="I33" s="20"/>
      <c r="J33" s="20">
        <f t="shared" si="7"/>
        <v>0</v>
      </c>
      <c r="K33" s="20">
        <f t="shared" si="7"/>
        <v>282087.98</v>
      </c>
      <c r="L33" s="20">
        <f t="shared" si="7"/>
        <v>0</v>
      </c>
      <c r="M33" s="20">
        <f t="shared" si="6"/>
        <v>0</v>
      </c>
      <c r="N33" s="20"/>
      <c r="O33" s="20">
        <v>0</v>
      </c>
      <c r="P33" s="20">
        <v>325238.05</v>
      </c>
      <c r="Q33" s="20">
        <v>0</v>
      </c>
      <c r="R33" s="20">
        <v>0</v>
      </c>
      <c r="S33" s="20"/>
      <c r="T33" s="20">
        <v>0</v>
      </c>
      <c r="U33" s="20">
        <v>238937.91</v>
      </c>
      <c r="V33" s="20">
        <v>0</v>
      </c>
      <c r="W33" s="20">
        <v>0</v>
      </c>
      <c r="X33" s="29"/>
    </row>
    <row r="34" spans="1:24" ht="15">
      <c r="A34" s="22">
        <f t="shared" si="1"/>
        <v>18</v>
      </c>
      <c r="B34" s="19" t="s">
        <v>469</v>
      </c>
      <c r="C34" s="19" t="s">
        <v>44</v>
      </c>
      <c r="D34" s="20">
        <f>SUM(O34:R34)</f>
        <v>6695557.399999999</v>
      </c>
      <c r="E34" s="20">
        <f>SUM(T34:W34)</f>
        <v>469205.8</v>
      </c>
      <c r="F34" s="20"/>
      <c r="G34" s="20"/>
      <c r="H34" s="20">
        <f>ROUND(SUM(D34:G34)/2,0)</f>
        <v>3582382</v>
      </c>
      <c r="I34" s="20"/>
      <c r="J34" s="20">
        <f>(+O34+T34)/2</f>
        <v>3113175.8</v>
      </c>
      <c r="K34" s="20">
        <f>(+P34+U34)/2</f>
        <v>0</v>
      </c>
      <c r="L34" s="20">
        <f>(+Q34+V34)/2</f>
        <v>469205.8</v>
      </c>
      <c r="M34" s="20">
        <f>(+R34+W34)/2</f>
        <v>0</v>
      </c>
      <c r="N34" s="20"/>
      <c r="O34" s="20">
        <v>6226351.6</v>
      </c>
      <c r="P34" s="20">
        <v>0</v>
      </c>
      <c r="Q34" s="20">
        <v>469205.8</v>
      </c>
      <c r="R34" s="20">
        <v>0</v>
      </c>
      <c r="S34" s="20"/>
      <c r="T34" s="20">
        <v>0</v>
      </c>
      <c r="U34" s="20">
        <v>0</v>
      </c>
      <c r="V34" s="20">
        <v>469205.8</v>
      </c>
      <c r="W34" s="20">
        <v>0</v>
      </c>
      <c r="X34" s="29"/>
    </row>
    <row r="35" spans="1:24" ht="15">
      <c r="A35" s="22">
        <f t="shared" si="1"/>
        <v>19</v>
      </c>
      <c r="B35" s="19" t="s">
        <v>469</v>
      </c>
      <c r="C35" s="19" t="s">
        <v>470</v>
      </c>
      <c r="D35" s="20">
        <f t="shared" si="3"/>
        <v>-271728.62</v>
      </c>
      <c r="E35" s="20">
        <f t="shared" si="4"/>
        <v>0</v>
      </c>
      <c r="F35" s="20"/>
      <c r="G35" s="20"/>
      <c r="H35" s="20">
        <f>ROUND(SUM(D35:G35)/2,0)</f>
        <v>-135864</v>
      </c>
      <c r="I35" s="20"/>
      <c r="J35" s="20">
        <f t="shared" si="7"/>
        <v>-135864.31</v>
      </c>
      <c r="K35" s="20">
        <f t="shared" si="7"/>
        <v>0</v>
      </c>
      <c r="L35" s="20">
        <f t="shared" si="7"/>
        <v>0</v>
      </c>
      <c r="M35" s="20">
        <f t="shared" si="6"/>
        <v>0</v>
      </c>
      <c r="N35" s="20"/>
      <c r="O35" s="20">
        <v>-271728.62</v>
      </c>
      <c r="P35" s="20">
        <v>0</v>
      </c>
      <c r="Q35" s="20">
        <v>0</v>
      </c>
      <c r="R35" s="20">
        <v>0</v>
      </c>
      <c r="S35" s="20"/>
      <c r="T35" s="20">
        <v>0</v>
      </c>
      <c r="U35" s="20">
        <v>0</v>
      </c>
      <c r="V35" s="20">
        <v>0</v>
      </c>
      <c r="W35" s="20">
        <v>0</v>
      </c>
      <c r="X35" s="29"/>
    </row>
    <row r="36" spans="1:24" ht="15">
      <c r="A36" s="22">
        <f t="shared" si="1"/>
        <v>20</v>
      </c>
      <c r="B36" s="19" t="s">
        <v>471</v>
      </c>
      <c r="C36" s="40" t="s">
        <v>246</v>
      </c>
      <c r="D36" s="20">
        <f t="shared" si="3"/>
        <v>36304535.08</v>
      </c>
      <c r="E36" s="20">
        <f t="shared" si="4"/>
        <v>509252.38</v>
      </c>
      <c r="F36" s="20"/>
      <c r="G36" s="20"/>
      <c r="H36" s="20">
        <f t="shared" si="5"/>
        <v>18406894</v>
      </c>
      <c r="I36" s="20"/>
      <c r="J36" s="20">
        <f t="shared" si="7"/>
        <v>17934968.59</v>
      </c>
      <c r="K36" s="20">
        <f t="shared" si="7"/>
        <v>8645.630000000001</v>
      </c>
      <c r="L36" s="20">
        <f t="shared" si="7"/>
        <v>463279.51</v>
      </c>
      <c r="M36" s="20">
        <f t="shared" si="6"/>
        <v>0</v>
      </c>
      <c r="N36" s="20"/>
      <c r="O36" s="20">
        <v>35869937.18</v>
      </c>
      <c r="P36" s="20">
        <v>8328.42</v>
      </c>
      <c r="Q36" s="20">
        <v>426269.48</v>
      </c>
      <c r="R36" s="20">
        <v>0</v>
      </c>
      <c r="S36" s="20"/>
      <c r="T36" s="20">
        <v>0</v>
      </c>
      <c r="U36" s="20">
        <v>8962.84</v>
      </c>
      <c r="V36" s="20">
        <v>500289.54</v>
      </c>
      <c r="W36" s="20">
        <v>0</v>
      </c>
      <c r="X36" s="29"/>
    </row>
    <row r="37" spans="1:24" ht="15">
      <c r="A37" s="22">
        <f t="shared" si="1"/>
        <v>21</v>
      </c>
      <c r="B37" s="19" t="s">
        <v>472</v>
      </c>
      <c r="C37" s="40" t="s">
        <v>473</v>
      </c>
      <c r="D37" s="20">
        <f t="shared" si="3"/>
        <v>-45900406.660000026</v>
      </c>
      <c r="E37" s="20">
        <f t="shared" si="4"/>
        <v>0</v>
      </c>
      <c r="F37" s="20"/>
      <c r="G37" s="20"/>
      <c r="H37" s="20">
        <f t="shared" si="5"/>
        <v>-22950203</v>
      </c>
      <c r="I37" s="20"/>
      <c r="J37" s="20">
        <f t="shared" si="7"/>
        <v>-22950203.330000013</v>
      </c>
      <c r="K37" s="20">
        <f t="shared" si="7"/>
        <v>0</v>
      </c>
      <c r="L37" s="20">
        <f t="shared" si="7"/>
        <v>0</v>
      </c>
      <c r="M37" s="20">
        <f t="shared" si="6"/>
        <v>0</v>
      </c>
      <c r="N37" s="20"/>
      <c r="O37" s="20">
        <f>264550862.75-310451269.41</f>
        <v>-45900406.660000026</v>
      </c>
      <c r="P37" s="20">
        <v>0</v>
      </c>
      <c r="Q37" s="20">
        <v>0</v>
      </c>
      <c r="R37" s="20">
        <v>0</v>
      </c>
      <c r="S37" s="20"/>
      <c r="T37" s="20">
        <v>0</v>
      </c>
      <c r="U37" s="20">
        <v>0</v>
      </c>
      <c r="V37" s="20">
        <v>0</v>
      </c>
      <c r="W37" s="20">
        <v>0</v>
      </c>
      <c r="X37" s="29"/>
    </row>
    <row r="38" spans="1:24" ht="15">
      <c r="A38" s="22">
        <f t="shared" si="1"/>
        <v>22</v>
      </c>
      <c r="B38" s="19" t="s">
        <v>474</v>
      </c>
      <c r="C38" s="76" t="s">
        <v>48</v>
      </c>
      <c r="D38" s="20">
        <f t="shared" si="3"/>
        <v>108886845.96000001</v>
      </c>
      <c r="E38" s="20">
        <f t="shared" si="4"/>
        <v>48374749.79</v>
      </c>
      <c r="F38" s="20"/>
      <c r="G38" s="20"/>
      <c r="H38" s="20">
        <f t="shared" si="5"/>
        <v>78630798</v>
      </c>
      <c r="I38" s="20"/>
      <c r="J38" s="20">
        <f t="shared" si="7"/>
        <v>32899617.75</v>
      </c>
      <c r="K38" s="20">
        <f t="shared" si="7"/>
        <v>9624669.05</v>
      </c>
      <c r="L38" s="20">
        <f t="shared" si="7"/>
        <v>36486453.215</v>
      </c>
      <c r="M38" s="20">
        <f t="shared" si="6"/>
        <v>-379942.14</v>
      </c>
      <c r="N38" s="20"/>
      <c r="O38" s="20">
        <v>65799235.5</v>
      </c>
      <c r="P38" s="20">
        <f>14091056-4620532</f>
        <v>9470524</v>
      </c>
      <c r="Q38" s="20">
        <f>47498618.74-13121648</f>
        <v>34376970.74</v>
      </c>
      <c r="R38" s="20">
        <v>-759884.28</v>
      </c>
      <c r="S38" s="20"/>
      <c r="T38" s="20">
        <v>0</v>
      </c>
      <c r="U38" s="20">
        <f>14909995.1-5131181</f>
        <v>9778814.1</v>
      </c>
      <c r="V38" s="20">
        <f>53606250.69-15010315</f>
        <v>38595935.69</v>
      </c>
      <c r="W38" s="20">
        <v>0</v>
      </c>
      <c r="X38" s="29"/>
    </row>
    <row r="39" spans="1:24" ht="15">
      <c r="A39" s="22">
        <f t="shared" si="1"/>
        <v>23</v>
      </c>
      <c r="B39" s="19"/>
      <c r="C39" s="76" t="s">
        <v>475</v>
      </c>
      <c r="D39" s="20">
        <f>SUM(O39:R39)</f>
        <v>-26093329.01</v>
      </c>
      <c r="E39" s="20">
        <f>SUM(T39:W39)</f>
        <v>0</v>
      </c>
      <c r="F39" s="20"/>
      <c r="G39" s="20"/>
      <c r="H39" s="20">
        <f>ROUND(SUM(D39:G39)/2,0)</f>
        <v>-13046665</v>
      </c>
      <c r="I39" s="20"/>
      <c r="J39" s="20">
        <f t="shared" si="7"/>
        <v>-13046664.505</v>
      </c>
      <c r="K39" s="20">
        <f t="shared" si="7"/>
        <v>0</v>
      </c>
      <c r="L39" s="20">
        <f t="shared" si="7"/>
        <v>0</v>
      </c>
      <c r="M39" s="20">
        <f>(+R39+W39)/2</f>
        <v>0</v>
      </c>
      <c r="N39" s="20"/>
      <c r="O39" s="20">
        <v>-26093329.01</v>
      </c>
      <c r="P39" s="20">
        <v>0</v>
      </c>
      <c r="Q39" s="20">
        <v>0</v>
      </c>
      <c r="R39" s="20">
        <v>0</v>
      </c>
      <c r="S39" s="20"/>
      <c r="T39" s="20">
        <v>0</v>
      </c>
      <c r="U39" s="20">
        <v>0</v>
      </c>
      <c r="V39" s="20">
        <v>0</v>
      </c>
      <c r="W39" s="20">
        <v>0</v>
      </c>
      <c r="X39" s="29"/>
    </row>
    <row r="40" spans="1:24" ht="15">
      <c r="A40" s="22">
        <f t="shared" si="1"/>
        <v>24</v>
      </c>
      <c r="B40" s="19" t="s">
        <v>476</v>
      </c>
      <c r="C40" s="40" t="s">
        <v>477</v>
      </c>
      <c r="D40" s="20">
        <f t="shared" si="3"/>
        <v>0</v>
      </c>
      <c r="E40" s="20">
        <f t="shared" si="4"/>
        <v>0</v>
      </c>
      <c r="F40" s="20"/>
      <c r="G40" s="20"/>
      <c r="H40" s="20">
        <f t="shared" si="5"/>
        <v>0</v>
      </c>
      <c r="I40" s="20"/>
      <c r="J40" s="20">
        <f t="shared" si="7"/>
        <v>0</v>
      </c>
      <c r="K40" s="20">
        <f t="shared" si="7"/>
        <v>0</v>
      </c>
      <c r="L40" s="20">
        <f t="shared" si="7"/>
        <v>0</v>
      </c>
      <c r="M40" s="20">
        <f t="shared" si="6"/>
        <v>0</v>
      </c>
      <c r="N40" s="20"/>
      <c r="O40" s="20">
        <v>0</v>
      </c>
      <c r="P40" s="20">
        <v>0</v>
      </c>
      <c r="Q40" s="20">
        <v>0</v>
      </c>
      <c r="R40" s="20">
        <v>0</v>
      </c>
      <c r="S40" s="20"/>
      <c r="T40" s="20">
        <v>0</v>
      </c>
      <c r="U40" s="20">
        <v>0</v>
      </c>
      <c r="V40" s="20">
        <v>0</v>
      </c>
      <c r="W40" s="20">
        <v>0</v>
      </c>
      <c r="X40" s="29"/>
    </row>
    <row r="41" spans="1:24" ht="15">
      <c r="A41" s="22">
        <f t="shared" si="1"/>
        <v>25</v>
      </c>
      <c r="B41" s="19" t="s">
        <v>478</v>
      </c>
      <c r="C41" s="40" t="s">
        <v>50</v>
      </c>
      <c r="D41" s="20">
        <f t="shared" si="3"/>
        <v>58437206.519999996</v>
      </c>
      <c r="E41" s="20">
        <f t="shared" si="4"/>
        <v>7174124.59</v>
      </c>
      <c r="F41" s="20"/>
      <c r="G41" s="20"/>
      <c r="H41" s="20">
        <f t="shared" si="5"/>
        <v>32805666</v>
      </c>
      <c r="I41" s="20"/>
      <c r="J41" s="20">
        <f t="shared" si="7"/>
        <v>25765069.31</v>
      </c>
      <c r="K41" s="20">
        <f t="shared" si="7"/>
        <v>3349153.77</v>
      </c>
      <c r="L41" s="20">
        <f t="shared" si="7"/>
        <v>3691442.4749999996</v>
      </c>
      <c r="M41" s="20">
        <f t="shared" si="6"/>
        <v>0</v>
      </c>
      <c r="N41" s="20"/>
      <c r="O41" s="20">
        <v>51530138.62</v>
      </c>
      <c r="P41" s="20">
        <f>7324482.04-4115561</f>
        <v>3208921.04</v>
      </c>
      <c r="Q41" s="20">
        <f>9215124.86-5516978</f>
        <v>3698146.8599999994</v>
      </c>
      <c r="R41" s="20">
        <v>0</v>
      </c>
      <c r="S41" s="20"/>
      <c r="T41" s="20">
        <v>0</v>
      </c>
      <c r="U41" s="20">
        <f>7778062.5-4288676</f>
        <v>3489386.5</v>
      </c>
      <c r="V41" s="20">
        <f>9404554.09-5719816</f>
        <v>3684738.09</v>
      </c>
      <c r="W41" s="20">
        <v>0</v>
      </c>
      <c r="X41" s="29"/>
    </row>
    <row r="42" spans="1:24" ht="15">
      <c r="A42" s="22">
        <f t="shared" si="1"/>
        <v>26</v>
      </c>
      <c r="B42" s="19" t="s">
        <v>478</v>
      </c>
      <c r="C42" s="40" t="s">
        <v>479</v>
      </c>
      <c r="D42" s="20">
        <f>SUM(O42:R42)</f>
        <v>14482623.150000002</v>
      </c>
      <c r="E42" s="20">
        <f>SUM(T42:W42)</f>
        <v>4560711.9</v>
      </c>
      <c r="F42" s="20"/>
      <c r="G42" s="20"/>
      <c r="H42" s="20">
        <f>ROUND(SUM(D42:G42)/2,0)</f>
        <v>9521668</v>
      </c>
      <c r="I42" s="20"/>
      <c r="J42" s="20">
        <f t="shared" si="7"/>
        <v>4841715.125</v>
      </c>
      <c r="K42" s="20">
        <f t="shared" si="7"/>
        <v>2046808.71</v>
      </c>
      <c r="L42" s="20">
        <f t="shared" si="7"/>
        <v>2633143.6900000004</v>
      </c>
      <c r="M42" s="20">
        <f>(+R42+W42)/2</f>
        <v>0</v>
      </c>
      <c r="N42" s="20"/>
      <c r="O42" s="20">
        <v>9683430.25</v>
      </c>
      <c r="P42" s="20">
        <f>2828362.21-734415</f>
        <v>2093947.21</v>
      </c>
      <c r="Q42" s="20">
        <f>4326158.69-1620913</f>
        <v>2705245.6900000004</v>
      </c>
      <c r="R42" s="20">
        <v>0</v>
      </c>
      <c r="S42" s="20"/>
      <c r="T42" s="20">
        <v>0</v>
      </c>
      <c r="U42" s="20">
        <f>2828362.21-828692</f>
        <v>1999670.21</v>
      </c>
      <c r="V42" s="20">
        <f>4326158.69-1765117</f>
        <v>2561041.6900000004</v>
      </c>
      <c r="W42" s="20">
        <v>0</v>
      </c>
      <c r="X42" s="29"/>
    </row>
    <row r="43" spans="1:24" ht="15">
      <c r="A43" s="22">
        <f t="shared" si="1"/>
        <v>27</v>
      </c>
      <c r="B43" s="19" t="s">
        <v>478</v>
      </c>
      <c r="C43" s="40" t="s">
        <v>480</v>
      </c>
      <c r="D43" s="20">
        <f>SUM(O43:R43)</f>
        <v>2652</v>
      </c>
      <c r="E43" s="20">
        <f>SUM(T43:W43)</f>
        <v>2652</v>
      </c>
      <c r="F43" s="20"/>
      <c r="G43" s="20"/>
      <c r="H43" s="20">
        <f>ROUND(SUM(D43:G43)/2,0)</f>
        <v>2652</v>
      </c>
      <c r="I43" s="20"/>
      <c r="J43" s="20">
        <f t="shared" si="7"/>
        <v>0</v>
      </c>
      <c r="K43" s="20">
        <f t="shared" si="7"/>
        <v>0</v>
      </c>
      <c r="L43" s="20">
        <f t="shared" si="7"/>
        <v>2652</v>
      </c>
      <c r="M43" s="20">
        <f>(+R43+W43)/2</f>
        <v>0</v>
      </c>
      <c r="N43" s="20"/>
      <c r="O43" s="20">
        <v>0</v>
      </c>
      <c r="P43" s="20">
        <v>0</v>
      </c>
      <c r="Q43" s="20">
        <v>2652</v>
      </c>
      <c r="R43" s="20">
        <v>0</v>
      </c>
      <c r="S43" s="20"/>
      <c r="T43" s="20">
        <v>0</v>
      </c>
      <c r="U43" s="20">
        <v>0</v>
      </c>
      <c r="V43" s="20">
        <v>2652</v>
      </c>
      <c r="W43" s="20">
        <v>0</v>
      </c>
      <c r="X43" s="29"/>
    </row>
    <row r="44" spans="1:24" ht="15">
      <c r="A44" s="22">
        <f t="shared" si="1"/>
        <v>28</v>
      </c>
      <c r="B44" s="19" t="s">
        <v>481</v>
      </c>
      <c r="C44" s="40" t="s">
        <v>54</v>
      </c>
      <c r="D44" s="20">
        <f t="shared" si="3"/>
        <v>83226</v>
      </c>
      <c r="E44" s="20">
        <f t="shared" si="4"/>
        <v>47680</v>
      </c>
      <c r="F44" s="20"/>
      <c r="G44" s="20"/>
      <c r="H44" s="20">
        <f t="shared" si="5"/>
        <v>65453</v>
      </c>
      <c r="I44" s="20"/>
      <c r="J44" s="20">
        <f t="shared" si="7"/>
        <v>0</v>
      </c>
      <c r="K44" s="20">
        <f t="shared" si="7"/>
        <v>22634.5</v>
      </c>
      <c r="L44" s="20">
        <f t="shared" si="7"/>
        <v>42818.5</v>
      </c>
      <c r="M44" s="20">
        <f t="shared" si="6"/>
        <v>0</v>
      </c>
      <c r="N44" s="20"/>
      <c r="O44" s="20">
        <v>0</v>
      </c>
      <c r="P44" s="20">
        <f>470320-441540</f>
        <v>28780</v>
      </c>
      <c r="Q44" s="20">
        <f>869001-814555</f>
        <v>54446</v>
      </c>
      <c r="R44" s="20">
        <v>0</v>
      </c>
      <c r="S44" s="20"/>
      <c r="T44" s="20">
        <v>0</v>
      </c>
      <c r="U44" s="20">
        <f>470320-453831</f>
        <v>16489</v>
      </c>
      <c r="V44" s="20">
        <f>869001-837810</f>
        <v>31191</v>
      </c>
      <c r="W44" s="20">
        <v>0</v>
      </c>
      <c r="X44" s="29"/>
    </row>
    <row r="45" spans="1:24" ht="15">
      <c r="A45" s="22">
        <f t="shared" si="1"/>
        <v>29</v>
      </c>
      <c r="B45" s="19" t="s">
        <v>482</v>
      </c>
      <c r="C45" s="40" t="s">
        <v>55</v>
      </c>
      <c r="D45" s="20">
        <f t="shared" si="3"/>
        <v>29961</v>
      </c>
      <c r="E45" s="20">
        <f t="shared" si="4"/>
        <v>12478</v>
      </c>
      <c r="F45" s="20"/>
      <c r="G45" s="20"/>
      <c r="H45" s="20">
        <f t="shared" si="5"/>
        <v>21220</v>
      </c>
      <c r="I45" s="20"/>
      <c r="J45" s="20">
        <f aca="true" t="shared" si="8" ref="J45:M58">(+O45+T45)/2</f>
        <v>0</v>
      </c>
      <c r="K45" s="20">
        <f t="shared" si="8"/>
        <v>6012.5</v>
      </c>
      <c r="L45" s="20">
        <f t="shared" si="8"/>
        <v>15207</v>
      </c>
      <c r="M45" s="20">
        <f t="shared" si="6"/>
        <v>0</v>
      </c>
      <c r="N45" s="20"/>
      <c r="O45" s="20">
        <v>0</v>
      </c>
      <c r="P45" s="20">
        <f>234911-226331</f>
        <v>8580</v>
      </c>
      <c r="Q45" s="20">
        <f>542815-521434</f>
        <v>21381</v>
      </c>
      <c r="R45" s="20">
        <v>0</v>
      </c>
      <c r="S45" s="20"/>
      <c r="T45" s="20">
        <v>0</v>
      </c>
      <c r="U45" s="20">
        <f>234911-231466</f>
        <v>3445</v>
      </c>
      <c r="V45" s="20">
        <f>542815-533782</f>
        <v>9033</v>
      </c>
      <c r="W45" s="20">
        <v>0</v>
      </c>
      <c r="X45" s="29"/>
    </row>
    <row r="46" spans="1:24" ht="15">
      <c r="A46" s="22">
        <f t="shared" si="1"/>
        <v>30</v>
      </c>
      <c r="B46" s="19" t="s">
        <v>483</v>
      </c>
      <c r="C46" s="40" t="s">
        <v>56</v>
      </c>
      <c r="D46" s="20">
        <f t="shared" si="3"/>
        <v>-39426.53</v>
      </c>
      <c r="E46" s="20">
        <f t="shared" si="4"/>
        <v>3801.29</v>
      </c>
      <c r="F46" s="20"/>
      <c r="G46" s="20"/>
      <c r="H46" s="20">
        <f t="shared" si="5"/>
        <v>-17813</v>
      </c>
      <c r="I46" s="20"/>
      <c r="J46" s="20">
        <f t="shared" si="8"/>
        <v>-24797.485</v>
      </c>
      <c r="K46" s="20">
        <f t="shared" si="8"/>
        <v>2444.58</v>
      </c>
      <c r="L46" s="20">
        <f t="shared" si="8"/>
        <v>4540.285</v>
      </c>
      <c r="M46" s="20">
        <f t="shared" si="6"/>
        <v>0</v>
      </c>
      <c r="N46" s="20"/>
      <c r="O46" s="20">
        <v>-49594.97</v>
      </c>
      <c r="P46" s="20">
        <f>3801.26-1</f>
        <v>3800.26</v>
      </c>
      <c r="Q46" s="20">
        <v>6368.18</v>
      </c>
      <c r="R46" s="20">
        <v>0</v>
      </c>
      <c r="S46" s="20"/>
      <c r="T46" s="20">
        <v>0</v>
      </c>
      <c r="U46" s="20">
        <f>1089.9-1</f>
        <v>1088.9</v>
      </c>
      <c r="V46" s="20">
        <v>2712.39</v>
      </c>
      <c r="W46" s="20">
        <v>0</v>
      </c>
      <c r="X46" s="29"/>
    </row>
    <row r="47" spans="1:24" ht="15">
      <c r="A47" s="22">
        <f t="shared" si="1"/>
        <v>31</v>
      </c>
      <c r="B47" s="19" t="s">
        <v>484</v>
      </c>
      <c r="C47" s="40" t="s">
        <v>57</v>
      </c>
      <c r="D47" s="20">
        <f t="shared" si="3"/>
        <v>12719</v>
      </c>
      <c r="E47" s="20">
        <f t="shared" si="4"/>
        <v>7048</v>
      </c>
      <c r="F47" s="20"/>
      <c r="G47" s="20"/>
      <c r="H47" s="20">
        <f t="shared" si="5"/>
        <v>9884</v>
      </c>
      <c r="I47" s="20"/>
      <c r="J47" s="20">
        <f t="shared" si="8"/>
        <v>0</v>
      </c>
      <c r="K47" s="20">
        <f t="shared" si="8"/>
        <v>3896</v>
      </c>
      <c r="L47" s="20">
        <f t="shared" si="8"/>
        <v>5987.5</v>
      </c>
      <c r="M47" s="20">
        <f t="shared" si="6"/>
        <v>0</v>
      </c>
      <c r="N47" s="20"/>
      <c r="O47" s="20">
        <v>0</v>
      </c>
      <c r="P47" s="20">
        <f>89902-84913</f>
        <v>4989</v>
      </c>
      <c r="Q47" s="20">
        <f>147201-139471</f>
        <v>7730</v>
      </c>
      <c r="R47" s="20">
        <v>0</v>
      </c>
      <c r="S47" s="20"/>
      <c r="T47" s="20">
        <v>0</v>
      </c>
      <c r="U47" s="20">
        <f>89902-87099</f>
        <v>2803</v>
      </c>
      <c r="V47" s="20">
        <f>147201-142956</f>
        <v>4245</v>
      </c>
      <c r="W47" s="20">
        <v>0</v>
      </c>
      <c r="X47" s="29"/>
    </row>
    <row r="48" spans="1:24" ht="15">
      <c r="A48" s="22">
        <f t="shared" si="1"/>
        <v>32</v>
      </c>
      <c r="B48" s="19" t="s">
        <v>485</v>
      </c>
      <c r="C48" s="40" t="s">
        <v>58</v>
      </c>
      <c r="D48" s="20">
        <f t="shared" si="3"/>
        <v>84516393.4</v>
      </c>
      <c r="E48" s="20">
        <f t="shared" si="4"/>
        <v>36484647.25</v>
      </c>
      <c r="F48" s="20"/>
      <c r="G48" s="20"/>
      <c r="H48" s="20">
        <f t="shared" si="5"/>
        <v>60500520</v>
      </c>
      <c r="I48" s="20"/>
      <c r="J48" s="20">
        <f t="shared" si="8"/>
        <v>22581723.575</v>
      </c>
      <c r="K48" s="20">
        <f t="shared" si="8"/>
        <v>7336354.75</v>
      </c>
      <c r="L48" s="20">
        <f t="shared" si="8"/>
        <v>30582442</v>
      </c>
      <c r="M48" s="20">
        <f t="shared" si="6"/>
        <v>0</v>
      </c>
      <c r="N48" s="20"/>
      <c r="O48" s="20">
        <v>45163447.15</v>
      </c>
      <c r="P48" s="20">
        <f>18581323.25-10957719</f>
        <v>7623604.25</v>
      </c>
      <c r="Q48" s="20">
        <f>74837435-43108093</f>
        <v>31729342</v>
      </c>
      <c r="R48" s="20">
        <v>0</v>
      </c>
      <c r="S48" s="20"/>
      <c r="T48" s="20">
        <v>0</v>
      </c>
      <c r="U48" s="20">
        <f>18581323.25-11532218</f>
        <v>7049105.25</v>
      </c>
      <c r="V48" s="20">
        <f>74837435-45401893</f>
        <v>29435542</v>
      </c>
      <c r="W48" s="20">
        <v>0</v>
      </c>
      <c r="X48" s="29"/>
    </row>
    <row r="49" spans="1:24" ht="15">
      <c r="A49" s="22">
        <f t="shared" si="1"/>
        <v>33</v>
      </c>
      <c r="B49" s="19" t="s">
        <v>465</v>
      </c>
      <c r="C49" s="19" t="s">
        <v>59</v>
      </c>
      <c r="D49" s="20">
        <f t="shared" si="3"/>
        <v>136868063.15</v>
      </c>
      <c r="E49" s="20">
        <f t="shared" si="4"/>
        <v>0</v>
      </c>
      <c r="F49" s="20"/>
      <c r="G49" s="20"/>
      <c r="H49" s="20">
        <f t="shared" si="5"/>
        <v>68434032</v>
      </c>
      <c r="I49" s="20"/>
      <c r="J49" s="20">
        <f t="shared" si="8"/>
        <v>68434031.575</v>
      </c>
      <c r="K49" s="20">
        <f t="shared" si="8"/>
        <v>0</v>
      </c>
      <c r="L49" s="20">
        <f t="shared" si="8"/>
        <v>0</v>
      </c>
      <c r="M49" s="20">
        <f t="shared" si="6"/>
        <v>0</v>
      </c>
      <c r="N49" s="20"/>
      <c r="O49" s="20">
        <v>136868063.15</v>
      </c>
      <c r="P49" s="20">
        <v>0</v>
      </c>
      <c r="Q49" s="20">
        <v>0</v>
      </c>
      <c r="R49" s="20">
        <v>0</v>
      </c>
      <c r="S49" s="20"/>
      <c r="T49" s="20">
        <v>0</v>
      </c>
      <c r="U49" s="20">
        <v>0</v>
      </c>
      <c r="V49" s="20">
        <v>0</v>
      </c>
      <c r="W49" s="20">
        <v>0</v>
      </c>
      <c r="X49" s="29"/>
    </row>
    <row r="50" spans="1:24" ht="15">
      <c r="A50" s="22">
        <f t="shared" si="1"/>
        <v>34</v>
      </c>
      <c r="B50" s="19" t="s">
        <v>465</v>
      </c>
      <c r="C50" s="19" t="s">
        <v>60</v>
      </c>
      <c r="D50" s="20">
        <f t="shared" si="3"/>
        <v>196055504.4</v>
      </c>
      <c r="E50" s="20">
        <f t="shared" si="4"/>
        <v>0</v>
      </c>
      <c r="F50" s="20"/>
      <c r="G50" s="20"/>
      <c r="H50" s="20">
        <f t="shared" si="5"/>
        <v>98027752</v>
      </c>
      <c r="I50" s="20"/>
      <c r="J50" s="20">
        <f t="shared" si="8"/>
        <v>98027752.2</v>
      </c>
      <c r="K50" s="20">
        <f t="shared" si="8"/>
        <v>0</v>
      </c>
      <c r="L50" s="20">
        <f t="shared" si="8"/>
        <v>0</v>
      </c>
      <c r="M50" s="20">
        <f t="shared" si="6"/>
        <v>0</v>
      </c>
      <c r="N50" s="20"/>
      <c r="O50" s="20">
        <v>196055504.4</v>
      </c>
      <c r="P50" s="20">
        <v>0</v>
      </c>
      <c r="Q50" s="20">
        <v>0</v>
      </c>
      <c r="R50" s="20">
        <v>0</v>
      </c>
      <c r="S50" s="20"/>
      <c r="T50" s="20">
        <v>0</v>
      </c>
      <c r="U50" s="20">
        <v>0</v>
      </c>
      <c r="V50" s="20">
        <v>0</v>
      </c>
      <c r="W50" s="20">
        <v>0</v>
      </c>
      <c r="X50" s="29"/>
    </row>
    <row r="51" spans="1:24" ht="15">
      <c r="A51" s="22">
        <f t="shared" si="1"/>
        <v>35</v>
      </c>
      <c r="B51" s="19" t="s">
        <v>465</v>
      </c>
      <c r="C51" s="19" t="s">
        <v>486</v>
      </c>
      <c r="D51" s="20">
        <f>SUM(O51:R51)</f>
        <v>0</v>
      </c>
      <c r="E51" s="20">
        <f>SUM(T51:W51)</f>
        <v>0</v>
      </c>
      <c r="F51" s="20"/>
      <c r="G51" s="20"/>
      <c r="H51" s="20">
        <f>ROUND(SUM(D51:G51)/2,0)</f>
        <v>0</v>
      </c>
      <c r="I51" s="20"/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/>
      <c r="O51" s="20">
        <v>0</v>
      </c>
      <c r="P51" s="20">
        <v>0</v>
      </c>
      <c r="Q51" s="20">
        <v>0</v>
      </c>
      <c r="R51" s="20">
        <v>0</v>
      </c>
      <c r="S51" s="20"/>
      <c r="T51" s="20">
        <v>0</v>
      </c>
      <c r="U51" s="20">
        <v>0</v>
      </c>
      <c r="V51" s="20">
        <v>0</v>
      </c>
      <c r="W51" s="20">
        <v>0</v>
      </c>
      <c r="X51" s="29"/>
    </row>
    <row r="52" spans="1:24" ht="15">
      <c r="A52" s="22">
        <f t="shared" si="1"/>
        <v>36</v>
      </c>
      <c r="B52" s="19" t="s">
        <v>465</v>
      </c>
      <c r="C52" s="19" t="s">
        <v>487</v>
      </c>
      <c r="D52" s="20">
        <f>SUM(O52:R52)</f>
        <v>-0.18</v>
      </c>
      <c r="E52" s="20">
        <f>SUM(T52:W52)</f>
        <v>0</v>
      </c>
      <c r="F52" s="20"/>
      <c r="G52" s="20"/>
      <c r="H52" s="20">
        <f>ROUND(SUM(D52:G52)/2,0)</f>
        <v>0</v>
      </c>
      <c r="I52" s="20"/>
      <c r="J52" s="20">
        <f>(+O52+T52)/2</f>
        <v>-0.09</v>
      </c>
      <c r="K52" s="20">
        <f>(+P52+U52)/2</f>
        <v>0</v>
      </c>
      <c r="L52" s="20">
        <f>(+Q52+V52)/2</f>
        <v>0</v>
      </c>
      <c r="M52" s="20">
        <f>(+R52+W52)/2</f>
        <v>0</v>
      </c>
      <c r="N52" s="20"/>
      <c r="O52" s="20">
        <v>-0.18</v>
      </c>
      <c r="P52" s="20">
        <v>0</v>
      </c>
      <c r="Q52" s="20">
        <v>0</v>
      </c>
      <c r="R52" s="20">
        <v>0</v>
      </c>
      <c r="S52" s="20"/>
      <c r="T52" s="20">
        <v>0</v>
      </c>
      <c r="U52" s="20">
        <v>0</v>
      </c>
      <c r="V52" s="20">
        <v>0</v>
      </c>
      <c r="W52" s="20">
        <v>0</v>
      </c>
      <c r="X52" s="29"/>
    </row>
    <row r="53" spans="1:24" ht="15">
      <c r="A53" s="22">
        <f t="shared" si="1"/>
        <v>37</v>
      </c>
      <c r="B53" s="19" t="s">
        <v>465</v>
      </c>
      <c r="C53" s="19" t="s">
        <v>65</v>
      </c>
      <c r="D53" s="20">
        <f>SUM(O53:R53)</f>
        <v>425548.55</v>
      </c>
      <c r="E53" s="20">
        <f>SUM(T53:W53)</f>
        <v>215692.75</v>
      </c>
      <c r="F53" s="20"/>
      <c r="G53" s="20"/>
      <c r="H53" s="20">
        <f>ROUND(SUM(D53:G53)/2,0)</f>
        <v>320621</v>
      </c>
      <c r="I53" s="20"/>
      <c r="J53" s="20">
        <f t="shared" si="8"/>
        <v>104927.9</v>
      </c>
      <c r="K53" s="20">
        <f t="shared" si="8"/>
        <v>46667.25</v>
      </c>
      <c r="L53" s="20">
        <f t="shared" si="8"/>
        <v>169025.5</v>
      </c>
      <c r="M53" s="20">
        <f t="shared" si="8"/>
        <v>0</v>
      </c>
      <c r="N53" s="20"/>
      <c r="O53" s="20">
        <v>209855.8</v>
      </c>
      <c r="P53" s="20">
        <v>46667.25</v>
      </c>
      <c r="Q53" s="20">
        <v>169025.5</v>
      </c>
      <c r="R53" s="20">
        <v>0</v>
      </c>
      <c r="S53" s="20"/>
      <c r="T53" s="20">
        <v>0</v>
      </c>
      <c r="U53" s="20">
        <v>46667.25</v>
      </c>
      <c r="V53" s="20">
        <v>169025.5</v>
      </c>
      <c r="W53" s="20">
        <v>0</v>
      </c>
      <c r="X53" s="29"/>
    </row>
    <row r="54" spans="1:24" ht="15">
      <c r="A54" s="22">
        <f t="shared" si="1"/>
        <v>38</v>
      </c>
      <c r="B54" s="19" t="s">
        <v>488</v>
      </c>
      <c r="C54" s="19" t="s">
        <v>61</v>
      </c>
      <c r="D54" s="20">
        <f t="shared" si="3"/>
        <v>15043399.1</v>
      </c>
      <c r="E54" s="20">
        <f t="shared" si="4"/>
        <v>15560236.58</v>
      </c>
      <c r="F54" s="20"/>
      <c r="G54" s="20"/>
      <c r="H54" s="20">
        <f>ROUND(SUM(D54:G54)/2,0)</f>
        <v>15301818</v>
      </c>
      <c r="I54" s="20"/>
      <c r="J54" s="20">
        <f t="shared" si="8"/>
        <v>0</v>
      </c>
      <c r="K54" s="20">
        <f t="shared" si="8"/>
        <v>1611630.6749999998</v>
      </c>
      <c r="L54" s="20">
        <f t="shared" si="8"/>
        <v>13690187.165</v>
      </c>
      <c r="M54" s="20">
        <f t="shared" si="6"/>
        <v>0</v>
      </c>
      <c r="N54" s="20"/>
      <c r="O54" s="20">
        <v>0</v>
      </c>
      <c r="P54" s="20">
        <f>1907964.45-453657</f>
        <v>1454307.45</v>
      </c>
      <c r="Q54" s="20">
        <f>16147872.65-2558781</f>
        <v>13589091.65</v>
      </c>
      <c r="R54" s="20">
        <v>0</v>
      </c>
      <c r="S54" s="20"/>
      <c r="T54" s="20">
        <v>0</v>
      </c>
      <c r="U54" s="20">
        <f>2294730.9-525777</f>
        <v>1768953.9</v>
      </c>
      <c r="V54" s="20">
        <f>16891044.68-3099762</f>
        <v>13791282.68</v>
      </c>
      <c r="W54" s="20">
        <v>0</v>
      </c>
      <c r="X54" s="29"/>
    </row>
    <row r="55" spans="1:24" ht="15">
      <c r="A55" s="22">
        <f t="shared" si="1"/>
        <v>39</v>
      </c>
      <c r="B55" s="19" t="s">
        <v>489</v>
      </c>
      <c r="C55" s="40" t="s">
        <v>66</v>
      </c>
      <c r="D55" s="20">
        <f t="shared" si="3"/>
        <v>227807</v>
      </c>
      <c r="E55" s="20">
        <f t="shared" si="4"/>
        <v>133185</v>
      </c>
      <c r="F55" s="20"/>
      <c r="G55" s="20"/>
      <c r="H55" s="20">
        <f t="shared" si="5"/>
        <v>180496</v>
      </c>
      <c r="I55" s="20"/>
      <c r="J55" s="20">
        <f t="shared" si="8"/>
        <v>0</v>
      </c>
      <c r="K55" s="20">
        <f t="shared" si="8"/>
        <v>76826.5</v>
      </c>
      <c r="L55" s="20">
        <f t="shared" si="8"/>
        <v>103669.5</v>
      </c>
      <c r="M55" s="20">
        <f t="shared" si="6"/>
        <v>0</v>
      </c>
      <c r="N55" s="20"/>
      <c r="O55" s="20">
        <v>0</v>
      </c>
      <c r="P55" s="20">
        <f>1836658-1739694</f>
        <v>96964</v>
      </c>
      <c r="Q55" s="20">
        <f>2478373-2347530</f>
        <v>130843</v>
      </c>
      <c r="R55" s="20">
        <v>0</v>
      </c>
      <c r="S55" s="20"/>
      <c r="T55" s="20">
        <v>0</v>
      </c>
      <c r="U55" s="20">
        <f>1836658-1779969</f>
        <v>56689</v>
      </c>
      <c r="V55" s="20">
        <f>2478373-2401877</f>
        <v>76496</v>
      </c>
      <c r="W55" s="20">
        <v>0</v>
      </c>
      <c r="X55" s="29"/>
    </row>
    <row r="56" spans="1:24" ht="15">
      <c r="A56" s="22">
        <f t="shared" si="1"/>
        <v>40</v>
      </c>
      <c r="B56" s="19" t="s">
        <v>490</v>
      </c>
      <c r="C56" s="40" t="s">
        <v>491</v>
      </c>
      <c r="D56" s="20">
        <f t="shared" si="3"/>
        <v>28462314.619999997</v>
      </c>
      <c r="E56" s="20">
        <f t="shared" si="4"/>
        <v>42374006.47</v>
      </c>
      <c r="F56" s="20"/>
      <c r="G56" s="20"/>
      <c r="H56" s="20">
        <f t="shared" si="5"/>
        <v>35418161</v>
      </c>
      <c r="I56" s="20"/>
      <c r="J56" s="20">
        <f t="shared" si="8"/>
        <v>-898606.8</v>
      </c>
      <c r="K56" s="20">
        <f t="shared" si="8"/>
        <v>6896184.795</v>
      </c>
      <c r="L56" s="20">
        <f t="shared" si="8"/>
        <v>29420582.55</v>
      </c>
      <c r="M56" s="20">
        <f t="shared" si="6"/>
        <v>0</v>
      </c>
      <c r="N56" s="20"/>
      <c r="O56" s="20">
        <v>-1797213.6</v>
      </c>
      <c r="P56" s="20">
        <f>6138283.07-1192151</f>
        <v>4946132.07</v>
      </c>
      <c r="Q56" s="20">
        <f>32273303.15-6959907</f>
        <v>25313396.15</v>
      </c>
      <c r="R56" s="20">
        <v>0</v>
      </c>
      <c r="S56" s="20"/>
      <c r="T56" s="20">
        <v>0</v>
      </c>
      <c r="U56" s="20">
        <f>10315927.52-1469690</f>
        <v>8846237.52</v>
      </c>
      <c r="V56" s="20">
        <f>41717992.95-8190224</f>
        <v>33527768.950000003</v>
      </c>
      <c r="W56" s="20">
        <v>0</v>
      </c>
      <c r="X56" s="29"/>
    </row>
    <row r="57" spans="1:24" ht="15">
      <c r="A57" s="22">
        <f t="shared" si="1"/>
        <v>41</v>
      </c>
      <c r="B57" s="19" t="s">
        <v>492</v>
      </c>
      <c r="C57" s="40" t="s">
        <v>493</v>
      </c>
      <c r="D57" s="20">
        <f t="shared" si="3"/>
        <v>107067773.05</v>
      </c>
      <c r="E57" s="20">
        <f t="shared" si="4"/>
        <v>0</v>
      </c>
      <c r="F57" s="20"/>
      <c r="G57" s="20"/>
      <c r="H57" s="20">
        <f t="shared" si="5"/>
        <v>53533887</v>
      </c>
      <c r="I57" s="20"/>
      <c r="J57" s="20">
        <f t="shared" si="8"/>
        <v>53533886.525</v>
      </c>
      <c r="K57" s="20">
        <f t="shared" si="8"/>
        <v>0</v>
      </c>
      <c r="L57" s="20">
        <f t="shared" si="8"/>
        <v>0</v>
      </c>
      <c r="M57" s="20">
        <f t="shared" si="6"/>
        <v>0</v>
      </c>
      <c r="N57" s="20"/>
      <c r="O57" s="20">
        <v>107067773.05</v>
      </c>
      <c r="P57" s="20">
        <v>0</v>
      </c>
      <c r="Q57" s="20">
        <v>0</v>
      </c>
      <c r="R57" s="20">
        <v>0</v>
      </c>
      <c r="S57" s="20"/>
      <c r="T57" s="20">
        <v>0</v>
      </c>
      <c r="U57" s="20">
        <v>0</v>
      </c>
      <c r="V57" s="20">
        <v>0</v>
      </c>
      <c r="W57" s="20">
        <v>0</v>
      </c>
      <c r="X57" s="29"/>
    </row>
    <row r="58" spans="1:24" ht="15">
      <c r="A58" s="22">
        <f t="shared" si="1"/>
        <v>42</v>
      </c>
      <c r="B58" s="19" t="s">
        <v>492</v>
      </c>
      <c r="C58" s="76" t="s">
        <v>494</v>
      </c>
      <c r="D58" s="20">
        <f>SUM(O58:R58)</f>
        <v>-20652583.35</v>
      </c>
      <c r="E58" s="20">
        <f>SUM(T58:W58)</f>
        <v>0</v>
      </c>
      <c r="F58" s="20"/>
      <c r="G58" s="20"/>
      <c r="H58" s="20">
        <f>ROUND(SUM(D58:G58)/2,0)</f>
        <v>-10326292</v>
      </c>
      <c r="I58" s="20"/>
      <c r="J58" s="20">
        <f t="shared" si="8"/>
        <v>-10326291.675</v>
      </c>
      <c r="K58" s="20">
        <f t="shared" si="8"/>
        <v>0</v>
      </c>
      <c r="L58" s="20">
        <f t="shared" si="8"/>
        <v>0</v>
      </c>
      <c r="M58" s="20">
        <f>(+R58+W58)/2</f>
        <v>0</v>
      </c>
      <c r="N58" s="20"/>
      <c r="O58" s="20">
        <v>-20652583.35</v>
      </c>
      <c r="P58" s="20">
        <v>0</v>
      </c>
      <c r="Q58" s="20">
        <v>0</v>
      </c>
      <c r="R58" s="20">
        <v>0</v>
      </c>
      <c r="S58" s="20"/>
      <c r="T58" s="20">
        <v>0</v>
      </c>
      <c r="U58" s="20">
        <v>0</v>
      </c>
      <c r="V58" s="20">
        <v>0</v>
      </c>
      <c r="W58" s="20">
        <v>0</v>
      </c>
      <c r="X58" s="29"/>
    </row>
    <row r="59" spans="1:24" ht="15">
      <c r="A59" s="22">
        <f t="shared" si="1"/>
        <v>43</v>
      </c>
      <c r="B59" s="19"/>
      <c r="C59" s="40" t="s">
        <v>34</v>
      </c>
      <c r="D59" s="20">
        <f>-183375.57+5194.4+758580.85</f>
        <v>580399.6799999999</v>
      </c>
      <c r="E59" s="20">
        <v>762816.25</v>
      </c>
      <c r="F59" s="20">
        <f aca="true" t="shared" si="9" ref="F59:G61">-D59</f>
        <v>-580399.6799999999</v>
      </c>
      <c r="G59" s="20">
        <f t="shared" si="9"/>
        <v>-762816.25</v>
      </c>
      <c r="H59" s="20">
        <f t="shared" si="5"/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9"/>
      <c r="W59" s="20"/>
      <c r="X59" s="9"/>
    </row>
    <row r="60" spans="1:24" ht="15">
      <c r="A60" s="22">
        <f t="shared" si="1"/>
        <v>44</v>
      </c>
      <c r="B60" s="19"/>
      <c r="C60" s="40" t="s">
        <v>73</v>
      </c>
      <c r="D60" s="20">
        <f>949.08+60511911.97+42041742.9</f>
        <v>102554603.94999999</v>
      </c>
      <c r="E60" s="20">
        <v>96855188.57</v>
      </c>
      <c r="F60" s="20">
        <f t="shared" si="9"/>
        <v>-102554603.94999999</v>
      </c>
      <c r="G60" s="20">
        <f t="shared" si="9"/>
        <v>-96855188.57</v>
      </c>
      <c r="H60" s="20">
        <f t="shared" si="5"/>
        <v>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9"/>
      <c r="W60" s="20"/>
      <c r="X60" s="9"/>
    </row>
    <row r="61" spans="1:24" ht="15">
      <c r="A61" s="22">
        <f t="shared" si="1"/>
        <v>45</v>
      </c>
      <c r="B61" s="19"/>
      <c r="C61" s="40" t="s">
        <v>74</v>
      </c>
      <c r="D61" s="20">
        <f>-703358.97-106165.71</f>
        <v>-809524.6799999999</v>
      </c>
      <c r="E61" s="20">
        <v>-788843.6799999999</v>
      </c>
      <c r="F61" s="20">
        <f t="shared" si="9"/>
        <v>809524.6799999999</v>
      </c>
      <c r="G61" s="20">
        <f t="shared" si="9"/>
        <v>788843.6799999999</v>
      </c>
      <c r="H61" s="20">
        <f t="shared" si="5"/>
        <v>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9"/>
      <c r="W61" s="20"/>
      <c r="X61" s="9"/>
    </row>
    <row r="62" spans="1:24" ht="15">
      <c r="A62" s="22">
        <f t="shared" si="1"/>
        <v>46</v>
      </c>
      <c r="B62" s="19"/>
      <c r="C62" s="4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9"/>
      <c r="W62" s="20"/>
      <c r="X62" s="29"/>
    </row>
    <row r="63" spans="1:24" ht="15.75" thickBot="1">
      <c r="A63" s="22">
        <f t="shared" si="1"/>
        <v>47</v>
      </c>
      <c r="B63" s="19"/>
      <c r="C63" s="10" t="s">
        <v>75</v>
      </c>
      <c r="D63" s="23">
        <f>SUM(D28:D62)</f>
        <v>1867120302.2699997</v>
      </c>
      <c r="E63" s="23">
        <f>SUM(E28:E62)</f>
        <v>870665558.07</v>
      </c>
      <c r="F63" s="23">
        <f>SUM(F28:F62)</f>
        <v>-102325478.94999999</v>
      </c>
      <c r="G63" s="23">
        <f>SUM(G28:G62)</f>
        <v>-96829161.13999999</v>
      </c>
      <c r="H63" s="23">
        <f>SUM(H28:H62)</f>
        <v>1269315614</v>
      </c>
      <c r="I63" s="23"/>
      <c r="J63" s="23">
        <f>SUM(J28:J62)</f>
        <v>534314743.1199998</v>
      </c>
      <c r="K63" s="23">
        <f>SUM(K28:K62)</f>
        <v>232093065.19000006</v>
      </c>
      <c r="L63" s="23">
        <f>SUM(L28:L62)</f>
        <v>502004388.3800001</v>
      </c>
      <c r="M63" s="23">
        <f>SUM(M28:M62)</f>
        <v>903413.4350000002</v>
      </c>
      <c r="N63" s="23"/>
      <c r="O63" s="23">
        <f>SUM(O28:O62)</f>
        <v>1068629486.2399997</v>
      </c>
      <c r="P63" s="23">
        <f>SUM(P28:P62)</f>
        <v>217352907.54999998</v>
      </c>
      <c r="Q63" s="23">
        <f>SUM(Q28:Q62)</f>
        <v>477005602.66</v>
      </c>
      <c r="R63" s="23">
        <f>SUM(R28:R62)</f>
        <v>1806826.8700000003</v>
      </c>
      <c r="S63" s="20"/>
      <c r="T63" s="23">
        <f>SUM(T28:T62)</f>
        <v>0</v>
      </c>
      <c r="U63" s="23">
        <f>SUM(U28:U62)</f>
        <v>246833222.83000004</v>
      </c>
      <c r="V63" s="23">
        <f>SUM(V28:V62)</f>
        <v>527003174.09999996</v>
      </c>
      <c r="W63" s="23">
        <f>SUM(W28:W62)</f>
        <v>0</v>
      </c>
      <c r="X63" s="29"/>
    </row>
    <row r="64" spans="1:24" ht="15.75" thickTop="1">
      <c r="A64" s="22">
        <f t="shared" si="1"/>
        <v>48</v>
      </c>
      <c r="B64" s="19"/>
      <c r="C64" s="9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80" t="s">
        <v>77</v>
      </c>
      <c r="P64" s="24"/>
      <c r="Q64" s="24"/>
      <c r="R64" s="24"/>
      <c r="S64" s="20"/>
      <c r="T64" s="24"/>
      <c r="U64" s="24"/>
      <c r="V64" s="81"/>
      <c r="W64" s="24"/>
      <c r="X64" s="29"/>
    </row>
    <row r="65" spans="1:24" ht="15">
      <c r="A65" s="22">
        <f t="shared" si="1"/>
        <v>49</v>
      </c>
      <c r="B65" s="19"/>
      <c r="C65" s="1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5"/>
      <c r="P65" s="20"/>
      <c r="Q65" s="20"/>
      <c r="R65" s="20"/>
      <c r="S65" s="20"/>
      <c r="T65" s="20"/>
      <c r="U65" s="20"/>
      <c r="V65" s="79"/>
      <c r="W65" s="20"/>
      <c r="X65" s="29"/>
    </row>
    <row r="66" spans="1:24" ht="15">
      <c r="A66" s="22">
        <f t="shared" si="1"/>
        <v>50</v>
      </c>
      <c r="B66" s="19"/>
      <c r="C66" s="19" t="s">
        <v>76</v>
      </c>
      <c r="D66" s="20" t="s">
        <v>77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79"/>
      <c r="W66" s="20"/>
      <c r="X66" s="29"/>
    </row>
    <row r="67" spans="1:24" ht="15">
      <c r="A67" s="22">
        <f t="shared" si="1"/>
        <v>51</v>
      </c>
      <c r="B67" s="19"/>
      <c r="C67" s="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78" t="s">
        <v>77</v>
      </c>
      <c r="P67" s="20"/>
      <c r="Q67" s="20"/>
      <c r="R67" s="20"/>
      <c r="S67" s="20"/>
      <c r="T67" s="20"/>
      <c r="U67" s="20"/>
      <c r="V67" s="79"/>
      <c r="W67" s="20"/>
      <c r="X67" s="29"/>
    </row>
    <row r="68" spans="1:24" ht="15">
      <c r="A68" s="22">
        <f t="shared" si="1"/>
        <v>52</v>
      </c>
      <c r="B68" s="19" t="s">
        <v>495</v>
      </c>
      <c r="C68" s="26" t="s">
        <v>78</v>
      </c>
      <c r="D68" s="20">
        <f>SUM(O68:R68)</f>
        <v>8079273.65</v>
      </c>
      <c r="E68" s="20">
        <f>SUM(T68:W68)</f>
        <v>5776600</v>
      </c>
      <c r="F68" s="20"/>
      <c r="G68" s="20"/>
      <c r="H68" s="20">
        <f aca="true" t="shared" si="10" ref="H68:H130">ROUND(SUM(D68:G68)/2,0)</f>
        <v>6927937</v>
      </c>
      <c r="I68" s="20"/>
      <c r="J68" s="20">
        <f aca="true" t="shared" si="11" ref="J68:M101">(+O68+T68)/2</f>
        <v>4039636.825</v>
      </c>
      <c r="K68" s="20">
        <f t="shared" si="11"/>
        <v>0</v>
      </c>
      <c r="L68" s="20">
        <f t="shared" si="11"/>
        <v>2888300</v>
      </c>
      <c r="M68" s="20">
        <f t="shared" si="11"/>
        <v>0</v>
      </c>
      <c r="N68" s="20"/>
      <c r="O68" s="20">
        <v>8079273.65</v>
      </c>
      <c r="P68" s="20">
        <v>0</v>
      </c>
      <c r="Q68" s="20">
        <v>0</v>
      </c>
      <c r="R68" s="20">
        <v>0</v>
      </c>
      <c r="S68" s="20"/>
      <c r="T68" s="20">
        <v>0</v>
      </c>
      <c r="U68" s="20">
        <v>0</v>
      </c>
      <c r="V68" s="20">
        <v>5776600</v>
      </c>
      <c r="W68" s="20">
        <v>0</v>
      </c>
      <c r="X68" s="29"/>
    </row>
    <row r="69" spans="1:24" ht="15">
      <c r="A69" s="22">
        <f t="shared" si="1"/>
        <v>53</v>
      </c>
      <c r="B69" s="19" t="s">
        <v>495</v>
      </c>
      <c r="C69" s="76" t="s">
        <v>496</v>
      </c>
      <c r="D69" s="20">
        <f>SUM(O69:R69)</f>
        <v>175789169</v>
      </c>
      <c r="E69" s="20">
        <f>SUM(T69:W69)</f>
        <v>152394197</v>
      </c>
      <c r="F69" s="20"/>
      <c r="G69" s="20"/>
      <c r="H69" s="20">
        <f>ROUND(SUM(D69:G69)/2,0)</f>
        <v>164091683</v>
      </c>
      <c r="I69" s="20"/>
      <c r="J69" s="20">
        <f>(+O69+T69)/2</f>
        <v>87894584.5</v>
      </c>
      <c r="K69" s="20">
        <f>(+P69+U69)/2</f>
        <v>0</v>
      </c>
      <c r="L69" s="20">
        <f>(+Q69+V69)/2</f>
        <v>76197098.5</v>
      </c>
      <c r="M69" s="20">
        <f>(+R69+W69)/2</f>
        <v>0</v>
      </c>
      <c r="N69" s="20"/>
      <c r="O69" s="20">
        <v>175789169</v>
      </c>
      <c r="P69" s="20">
        <v>0</v>
      </c>
      <c r="Q69" s="20">
        <v>0</v>
      </c>
      <c r="R69" s="20">
        <v>0</v>
      </c>
      <c r="S69" s="20"/>
      <c r="T69" s="20">
        <v>0</v>
      </c>
      <c r="U69" s="20">
        <v>0</v>
      </c>
      <c r="V69" s="20">
        <v>152394197</v>
      </c>
      <c r="W69" s="20">
        <v>0</v>
      </c>
      <c r="X69" s="29"/>
    </row>
    <row r="70" spans="1:24" ht="15">
      <c r="A70" s="22">
        <f t="shared" si="1"/>
        <v>54</v>
      </c>
      <c r="B70" s="19" t="s">
        <v>495</v>
      </c>
      <c r="C70" s="76" t="s">
        <v>497</v>
      </c>
      <c r="D70" s="20">
        <f aca="true" t="shared" si="12" ref="D70:D133">SUM(O70:R70)</f>
        <v>0</v>
      </c>
      <c r="E70" s="20">
        <f aca="true" t="shared" si="13" ref="E70:E133">SUM(T70:W70)</f>
        <v>4590875</v>
      </c>
      <c r="F70" s="20"/>
      <c r="G70" s="20"/>
      <c r="H70" s="20">
        <f t="shared" si="10"/>
        <v>2295438</v>
      </c>
      <c r="I70" s="20"/>
      <c r="J70" s="20">
        <f>(+O70+T70)/2</f>
        <v>0</v>
      </c>
      <c r="K70" s="20">
        <f t="shared" si="11"/>
        <v>0</v>
      </c>
      <c r="L70" s="20">
        <f t="shared" si="11"/>
        <v>2295437.5</v>
      </c>
      <c r="M70" s="20">
        <f t="shared" si="11"/>
        <v>0</v>
      </c>
      <c r="N70" s="20"/>
      <c r="O70" s="20">
        <v>0</v>
      </c>
      <c r="P70" s="20">
        <v>0</v>
      </c>
      <c r="Q70" s="20">
        <v>0</v>
      </c>
      <c r="R70" s="20">
        <v>0</v>
      </c>
      <c r="S70" s="20"/>
      <c r="T70" s="20">
        <v>0</v>
      </c>
      <c r="U70" s="20">
        <v>0</v>
      </c>
      <c r="V70" s="20">
        <v>4590875</v>
      </c>
      <c r="W70" s="20">
        <v>0</v>
      </c>
      <c r="X70" s="29"/>
    </row>
    <row r="71" spans="1:24" ht="15">
      <c r="A71" s="22">
        <f t="shared" si="1"/>
        <v>55</v>
      </c>
      <c r="B71" s="19" t="s">
        <v>495</v>
      </c>
      <c r="C71" s="40" t="s">
        <v>498</v>
      </c>
      <c r="D71" s="20">
        <f t="shared" si="12"/>
        <v>349027.5</v>
      </c>
      <c r="E71" s="20">
        <f t="shared" si="13"/>
        <v>0</v>
      </c>
      <c r="F71" s="20"/>
      <c r="G71" s="20"/>
      <c r="H71" s="20">
        <f t="shared" si="10"/>
        <v>174514</v>
      </c>
      <c r="I71" s="20"/>
      <c r="J71" s="20">
        <f aca="true" t="shared" si="14" ref="J71:M76">(+O71+T71)/2</f>
        <v>0</v>
      </c>
      <c r="K71" s="20">
        <f t="shared" si="14"/>
        <v>0</v>
      </c>
      <c r="L71" s="20">
        <f t="shared" si="14"/>
        <v>174513.75</v>
      </c>
      <c r="M71" s="20">
        <f t="shared" si="14"/>
        <v>0</v>
      </c>
      <c r="N71" s="20"/>
      <c r="O71" s="20">
        <v>0</v>
      </c>
      <c r="P71" s="20">
        <v>0</v>
      </c>
      <c r="Q71" s="20">
        <v>349027.5</v>
      </c>
      <c r="R71" s="20">
        <v>0</v>
      </c>
      <c r="S71" s="20"/>
      <c r="T71" s="20">
        <v>0</v>
      </c>
      <c r="U71" s="20">
        <v>0</v>
      </c>
      <c r="V71" s="20">
        <v>0</v>
      </c>
      <c r="W71" s="20">
        <v>0</v>
      </c>
      <c r="X71" s="29"/>
    </row>
    <row r="72" spans="1:24" ht="15">
      <c r="A72" s="22">
        <f t="shared" si="1"/>
        <v>56</v>
      </c>
      <c r="B72" s="19" t="s">
        <v>495</v>
      </c>
      <c r="C72" s="40" t="s">
        <v>499</v>
      </c>
      <c r="D72" s="20">
        <f t="shared" si="12"/>
        <v>-10404303.7</v>
      </c>
      <c r="E72" s="20">
        <f t="shared" si="13"/>
        <v>-10404304</v>
      </c>
      <c r="F72" s="20"/>
      <c r="G72" s="20"/>
      <c r="H72" s="20">
        <f>ROUND(SUM(D72:G72)/2,0)</f>
        <v>-10404304</v>
      </c>
      <c r="I72" s="20"/>
      <c r="J72" s="20">
        <f>(+O72+T72)/2</f>
        <v>-5202151.85</v>
      </c>
      <c r="K72" s="20">
        <f>(+P72+U72)/2</f>
        <v>0</v>
      </c>
      <c r="L72" s="20">
        <f>(+Q72+V72)/2</f>
        <v>-5202152</v>
      </c>
      <c r="M72" s="20">
        <f>(+R72+W72)/2</f>
        <v>0</v>
      </c>
      <c r="N72" s="20"/>
      <c r="O72" s="20">
        <v>-10404303.7</v>
      </c>
      <c r="P72" s="20">
        <v>0</v>
      </c>
      <c r="Q72" s="20">
        <v>0</v>
      </c>
      <c r="R72" s="20">
        <v>0</v>
      </c>
      <c r="S72" s="20"/>
      <c r="T72" s="20">
        <v>0</v>
      </c>
      <c r="U72" s="20">
        <v>0</v>
      </c>
      <c r="V72" s="20">
        <v>-10404304</v>
      </c>
      <c r="W72" s="20">
        <v>0</v>
      </c>
      <c r="X72" s="29"/>
    </row>
    <row r="73" spans="1:24" ht="15">
      <c r="A73" s="22">
        <f t="shared" si="1"/>
        <v>57</v>
      </c>
      <c r="B73" s="19" t="s">
        <v>495</v>
      </c>
      <c r="C73" s="76" t="s">
        <v>500</v>
      </c>
      <c r="D73" s="20">
        <f t="shared" si="12"/>
        <v>35347099.64</v>
      </c>
      <c r="E73" s="20">
        <f t="shared" si="13"/>
        <v>30346944</v>
      </c>
      <c r="F73" s="20"/>
      <c r="G73" s="20"/>
      <c r="H73" s="20">
        <f t="shared" si="10"/>
        <v>32847022</v>
      </c>
      <c r="I73" s="20"/>
      <c r="J73" s="20">
        <f t="shared" si="14"/>
        <v>17673549.82</v>
      </c>
      <c r="K73" s="20">
        <f t="shared" si="14"/>
        <v>0</v>
      </c>
      <c r="L73" s="20">
        <f t="shared" si="14"/>
        <v>15173472</v>
      </c>
      <c r="M73" s="20">
        <f t="shared" si="14"/>
        <v>0</v>
      </c>
      <c r="N73" s="20"/>
      <c r="O73" s="20">
        <v>35347099.64</v>
      </c>
      <c r="P73" s="20">
        <v>0</v>
      </c>
      <c r="Q73" s="20">
        <v>0</v>
      </c>
      <c r="R73" s="20">
        <v>0</v>
      </c>
      <c r="S73" s="20"/>
      <c r="T73" s="20">
        <v>0</v>
      </c>
      <c r="U73" s="20">
        <v>0</v>
      </c>
      <c r="V73" s="20">
        <v>30346944</v>
      </c>
      <c r="W73" s="20">
        <v>0</v>
      </c>
      <c r="X73" s="29"/>
    </row>
    <row r="74" spans="1:24" ht="15">
      <c r="A74" s="22">
        <f t="shared" si="1"/>
        <v>58</v>
      </c>
      <c r="B74" s="19" t="s">
        <v>495</v>
      </c>
      <c r="C74" s="76" t="s">
        <v>501</v>
      </c>
      <c r="D74" s="20">
        <f t="shared" si="12"/>
        <v>-0.32</v>
      </c>
      <c r="E74" s="20">
        <f t="shared" si="13"/>
        <v>0</v>
      </c>
      <c r="F74" s="20"/>
      <c r="G74" s="20"/>
      <c r="H74" s="20">
        <f t="shared" si="10"/>
        <v>0</v>
      </c>
      <c r="I74" s="20"/>
      <c r="J74" s="20">
        <f t="shared" si="14"/>
        <v>-0.16</v>
      </c>
      <c r="K74" s="20">
        <f t="shared" si="14"/>
        <v>0</v>
      </c>
      <c r="L74" s="20">
        <f t="shared" si="14"/>
        <v>0</v>
      </c>
      <c r="M74" s="20">
        <f t="shared" si="14"/>
        <v>0</v>
      </c>
      <c r="N74" s="20"/>
      <c r="O74" s="20">
        <v>-0.32</v>
      </c>
      <c r="P74" s="20">
        <v>0</v>
      </c>
      <c r="Q74" s="20">
        <v>0</v>
      </c>
      <c r="R74" s="20">
        <v>0</v>
      </c>
      <c r="S74" s="20"/>
      <c r="T74" s="20">
        <v>0</v>
      </c>
      <c r="U74" s="20">
        <v>0</v>
      </c>
      <c r="V74" s="20">
        <v>0</v>
      </c>
      <c r="W74" s="20">
        <v>0</v>
      </c>
      <c r="X74" s="29"/>
    </row>
    <row r="75" spans="1:24" ht="15">
      <c r="A75" s="22">
        <f t="shared" si="1"/>
        <v>59</v>
      </c>
      <c r="B75" s="19" t="s">
        <v>495</v>
      </c>
      <c r="C75" s="53" t="s">
        <v>705</v>
      </c>
      <c r="D75" s="20">
        <f>SUM(O75:R75)</f>
        <v>0</v>
      </c>
      <c r="E75" s="20">
        <f>SUM(T75:W75)</f>
        <v>-735397</v>
      </c>
      <c r="F75" s="20"/>
      <c r="G75" s="20"/>
      <c r="H75" s="20">
        <f>ROUND(SUM(D75:G75)/2,0)</f>
        <v>-367699</v>
      </c>
      <c r="I75" s="20"/>
      <c r="J75" s="20">
        <f>(+O75+T75)/2</f>
        <v>0</v>
      </c>
      <c r="K75" s="20">
        <f>(+P75+U75)/2</f>
        <v>0</v>
      </c>
      <c r="L75" s="20">
        <f>(+Q75+V75)/2</f>
        <v>-367698.5</v>
      </c>
      <c r="M75" s="20">
        <f>(+R75+W75)/2</f>
        <v>0</v>
      </c>
      <c r="N75" s="20"/>
      <c r="O75" s="20">
        <v>0</v>
      </c>
      <c r="P75" s="20">
        <v>0</v>
      </c>
      <c r="Q75" s="20">
        <v>0</v>
      </c>
      <c r="R75" s="20">
        <v>0</v>
      </c>
      <c r="S75" s="20"/>
      <c r="T75" s="20">
        <v>0</v>
      </c>
      <c r="U75" s="20">
        <v>0</v>
      </c>
      <c r="V75" s="20">
        <v>-735397</v>
      </c>
      <c r="W75" s="20">
        <v>0</v>
      </c>
      <c r="X75" s="29"/>
    </row>
    <row r="76" spans="1:24" ht="15">
      <c r="A76" s="22">
        <f t="shared" si="1"/>
        <v>60</v>
      </c>
      <c r="B76" s="19" t="s">
        <v>495</v>
      </c>
      <c r="C76" s="76" t="s">
        <v>502</v>
      </c>
      <c r="D76" s="20">
        <f t="shared" si="12"/>
        <v>0</v>
      </c>
      <c r="E76" s="20">
        <f t="shared" si="13"/>
        <v>3657375</v>
      </c>
      <c r="F76" s="20"/>
      <c r="G76" s="20"/>
      <c r="H76" s="20">
        <f t="shared" si="10"/>
        <v>1828688</v>
      </c>
      <c r="I76" s="20"/>
      <c r="J76" s="20">
        <f t="shared" si="14"/>
        <v>0</v>
      </c>
      <c r="K76" s="20">
        <f t="shared" si="14"/>
        <v>0</v>
      </c>
      <c r="L76" s="20">
        <f t="shared" si="14"/>
        <v>1828687.5</v>
      </c>
      <c r="M76" s="20">
        <f t="shared" si="14"/>
        <v>0</v>
      </c>
      <c r="N76" s="20"/>
      <c r="O76" s="20">
        <v>0</v>
      </c>
      <c r="P76" s="20">
        <v>0</v>
      </c>
      <c r="Q76" s="20">
        <v>0</v>
      </c>
      <c r="R76" s="20">
        <v>0</v>
      </c>
      <c r="S76" s="20"/>
      <c r="T76" s="20">
        <v>0</v>
      </c>
      <c r="U76" s="20">
        <v>0</v>
      </c>
      <c r="V76" s="20">
        <v>3657375</v>
      </c>
      <c r="W76" s="20">
        <v>0</v>
      </c>
      <c r="X76" s="29"/>
    </row>
    <row r="77" spans="1:24" ht="15">
      <c r="A77" s="22">
        <f t="shared" si="1"/>
        <v>61</v>
      </c>
      <c r="B77" s="19" t="s">
        <v>495</v>
      </c>
      <c r="C77" s="76" t="s">
        <v>503</v>
      </c>
      <c r="D77" s="20">
        <f t="shared" si="12"/>
        <v>-735396.9</v>
      </c>
      <c r="E77" s="20">
        <f t="shared" si="13"/>
        <v>0</v>
      </c>
      <c r="F77" s="20"/>
      <c r="G77" s="20"/>
      <c r="H77" s="20">
        <f>ROUND(SUM(D77:G77)/2,0)</f>
        <v>-367698</v>
      </c>
      <c r="I77" s="20"/>
      <c r="J77" s="20">
        <f>(+O77+T77)/2</f>
        <v>-367698.45</v>
      </c>
      <c r="K77" s="20">
        <f>(+P77+U77)/2</f>
        <v>0</v>
      </c>
      <c r="L77" s="20">
        <f>(+Q77+V77)/2</f>
        <v>0</v>
      </c>
      <c r="M77" s="20">
        <f>(+R77+W77)/2</f>
        <v>0</v>
      </c>
      <c r="N77" s="20"/>
      <c r="O77" s="20">
        <v>-735396.9</v>
      </c>
      <c r="P77" s="20">
        <v>0</v>
      </c>
      <c r="Q77" s="20">
        <v>0</v>
      </c>
      <c r="R77" s="20">
        <v>0</v>
      </c>
      <c r="S77" s="20"/>
      <c r="T77" s="20">
        <v>0</v>
      </c>
      <c r="U77" s="20">
        <v>0</v>
      </c>
      <c r="V77" s="20">
        <v>0</v>
      </c>
      <c r="W77" s="20">
        <v>0</v>
      </c>
      <c r="X77" s="29"/>
    </row>
    <row r="78" spans="1:24" ht="15">
      <c r="A78" s="22">
        <f t="shared" si="1"/>
        <v>62</v>
      </c>
      <c r="B78" s="19" t="s">
        <v>504</v>
      </c>
      <c r="C78" s="40" t="s">
        <v>505</v>
      </c>
      <c r="D78" s="20">
        <f t="shared" si="12"/>
        <v>8079441.8</v>
      </c>
      <c r="E78" s="20">
        <f t="shared" si="13"/>
        <v>31858.03</v>
      </c>
      <c r="F78" s="20"/>
      <c r="G78" s="20"/>
      <c r="H78" s="20">
        <f t="shared" si="10"/>
        <v>4055650</v>
      </c>
      <c r="I78" s="20"/>
      <c r="J78" s="20">
        <f t="shared" si="11"/>
        <v>4015667.32</v>
      </c>
      <c r="K78" s="20">
        <f t="shared" si="11"/>
        <v>20548.545</v>
      </c>
      <c r="L78" s="20">
        <f t="shared" si="11"/>
        <v>19434.05</v>
      </c>
      <c r="M78" s="20">
        <f t="shared" si="11"/>
        <v>0</v>
      </c>
      <c r="N78" s="20"/>
      <c r="O78" s="20">
        <v>8031334.64</v>
      </c>
      <c r="P78" s="20">
        <v>20473.41</v>
      </c>
      <c r="Q78" s="20">
        <v>27633.75</v>
      </c>
      <c r="R78" s="20">
        <v>0</v>
      </c>
      <c r="S78" s="20"/>
      <c r="T78" s="20">
        <v>0</v>
      </c>
      <c r="U78" s="20">
        <v>20623.68</v>
      </c>
      <c r="V78" s="20">
        <v>11234.35</v>
      </c>
      <c r="W78" s="20">
        <v>0</v>
      </c>
      <c r="X78" s="29"/>
    </row>
    <row r="79" spans="1:24" ht="15">
      <c r="A79" s="22">
        <f t="shared" si="1"/>
        <v>63</v>
      </c>
      <c r="B79" s="19" t="s">
        <v>504</v>
      </c>
      <c r="C79" s="40" t="s">
        <v>506</v>
      </c>
      <c r="D79" s="20">
        <f t="shared" si="12"/>
        <v>3657375.4</v>
      </c>
      <c r="E79" s="20">
        <f t="shared" si="13"/>
        <v>0</v>
      </c>
      <c r="F79" s="20"/>
      <c r="G79" s="20"/>
      <c r="H79" s="20">
        <f>ROUND(SUM(D79:G79)/2,0)</f>
        <v>1828688</v>
      </c>
      <c r="I79" s="20"/>
      <c r="J79" s="20">
        <f t="shared" si="11"/>
        <v>1828687.7</v>
      </c>
      <c r="K79" s="20">
        <f t="shared" si="11"/>
        <v>0</v>
      </c>
      <c r="L79" s="20">
        <f t="shared" si="11"/>
        <v>0</v>
      </c>
      <c r="M79" s="20">
        <f t="shared" si="11"/>
        <v>0</v>
      </c>
      <c r="N79" s="20"/>
      <c r="O79" s="20">
        <v>3657375.4</v>
      </c>
      <c r="P79" s="20">
        <v>0</v>
      </c>
      <c r="Q79" s="20">
        <v>0</v>
      </c>
      <c r="R79" s="20">
        <v>0</v>
      </c>
      <c r="S79" s="20"/>
      <c r="T79" s="20">
        <v>0</v>
      </c>
      <c r="U79" s="20">
        <v>0</v>
      </c>
      <c r="V79" s="20">
        <v>0</v>
      </c>
      <c r="W79" s="20">
        <v>0</v>
      </c>
      <c r="X79" s="29"/>
    </row>
    <row r="80" spans="1:24" ht="15">
      <c r="A80" s="22">
        <f t="shared" si="1"/>
        <v>64</v>
      </c>
      <c r="B80" s="19" t="s">
        <v>504</v>
      </c>
      <c r="C80" s="40" t="s">
        <v>706</v>
      </c>
      <c r="D80" s="20">
        <f>SUM(O80:R80)</f>
        <v>0</v>
      </c>
      <c r="E80" s="20">
        <f>SUM(T80:W80)</f>
        <v>86803330.25</v>
      </c>
      <c r="F80" s="20"/>
      <c r="G80" s="20"/>
      <c r="H80" s="20">
        <f>ROUND(SUM(D80:G80)/2,0)</f>
        <v>43401665</v>
      </c>
      <c r="I80" s="20"/>
      <c r="J80" s="20">
        <f t="shared" si="11"/>
        <v>0</v>
      </c>
      <c r="K80" s="20">
        <f t="shared" si="11"/>
        <v>0</v>
      </c>
      <c r="L80" s="20">
        <f t="shared" si="11"/>
        <v>43401665.125</v>
      </c>
      <c r="M80" s="20">
        <f>(+R80+W80)/2</f>
        <v>0</v>
      </c>
      <c r="N80" s="20"/>
      <c r="O80" s="20">
        <v>0</v>
      </c>
      <c r="P80" s="20">
        <v>0</v>
      </c>
      <c r="Q80" s="20">
        <v>0</v>
      </c>
      <c r="R80" s="20">
        <v>0</v>
      </c>
      <c r="S80" s="20"/>
      <c r="T80" s="20">
        <v>0</v>
      </c>
      <c r="U80" s="20">
        <v>0</v>
      </c>
      <c r="V80" s="20">
        <v>86803330.25</v>
      </c>
      <c r="W80" s="20">
        <v>0</v>
      </c>
      <c r="X80" s="29"/>
    </row>
    <row r="81" spans="1:24" ht="15">
      <c r="A81" s="22">
        <f t="shared" si="1"/>
        <v>65</v>
      </c>
      <c r="B81" s="19" t="s">
        <v>507</v>
      </c>
      <c r="C81" s="40" t="s">
        <v>86</v>
      </c>
      <c r="D81" s="20">
        <f t="shared" si="12"/>
        <v>24771996.2</v>
      </c>
      <c r="E81" s="20">
        <f t="shared" si="13"/>
        <v>0</v>
      </c>
      <c r="F81" s="20"/>
      <c r="G81" s="20"/>
      <c r="H81" s="20">
        <f t="shared" si="10"/>
        <v>12385998</v>
      </c>
      <c r="I81" s="20"/>
      <c r="J81" s="20">
        <f t="shared" si="11"/>
        <v>12385998.1</v>
      </c>
      <c r="K81" s="20">
        <f t="shared" si="11"/>
        <v>0</v>
      </c>
      <c r="L81" s="20">
        <f t="shared" si="11"/>
        <v>0</v>
      </c>
      <c r="M81" s="20">
        <f t="shared" si="11"/>
        <v>0</v>
      </c>
      <c r="N81" s="20"/>
      <c r="O81" s="20">
        <f>25093972.63-321976.43</f>
        <v>24771996.2</v>
      </c>
      <c r="P81" s="20">
        <v>0</v>
      </c>
      <c r="Q81" s="20">
        <v>0</v>
      </c>
      <c r="R81" s="20">
        <v>0</v>
      </c>
      <c r="S81" s="20"/>
      <c r="T81" s="20">
        <v>0</v>
      </c>
      <c r="U81" s="20">
        <v>0</v>
      </c>
      <c r="V81" s="20">
        <v>0</v>
      </c>
      <c r="W81" s="20">
        <v>0</v>
      </c>
      <c r="X81" s="29"/>
    </row>
    <row r="82" spans="1:24" ht="15">
      <c r="A82" s="22">
        <f aca="true" t="shared" si="15" ref="A82:A145">A81+1</f>
        <v>66</v>
      </c>
      <c r="B82" s="19" t="s">
        <v>508</v>
      </c>
      <c r="C82" s="76" t="s">
        <v>87</v>
      </c>
      <c r="D82" s="20">
        <f t="shared" si="12"/>
        <v>-23838.15</v>
      </c>
      <c r="E82" s="20">
        <f t="shared" si="13"/>
        <v>0</v>
      </c>
      <c r="F82" s="20"/>
      <c r="G82" s="20"/>
      <c r="H82" s="20">
        <f t="shared" si="10"/>
        <v>-11919</v>
      </c>
      <c r="I82" s="20"/>
      <c r="J82" s="20">
        <f t="shared" si="11"/>
        <v>-11919.075</v>
      </c>
      <c r="K82" s="20">
        <f t="shared" si="11"/>
        <v>0</v>
      </c>
      <c r="L82" s="20">
        <f t="shared" si="11"/>
        <v>0</v>
      </c>
      <c r="M82" s="20">
        <f t="shared" si="11"/>
        <v>0</v>
      </c>
      <c r="N82" s="20"/>
      <c r="O82" s="20">
        <v>-23838.15</v>
      </c>
      <c r="P82" s="20">
        <v>0</v>
      </c>
      <c r="Q82" s="20">
        <v>0</v>
      </c>
      <c r="R82" s="20">
        <v>0</v>
      </c>
      <c r="S82" s="20"/>
      <c r="T82" s="20">
        <v>0</v>
      </c>
      <c r="U82" s="20">
        <v>0</v>
      </c>
      <c r="V82" s="20">
        <v>0</v>
      </c>
      <c r="W82" s="20">
        <v>0</v>
      </c>
      <c r="X82" s="29"/>
    </row>
    <row r="83" spans="1:24" ht="15">
      <c r="A83" s="22">
        <f t="shared" si="15"/>
        <v>67</v>
      </c>
      <c r="B83" s="19" t="s">
        <v>509</v>
      </c>
      <c r="C83" s="40" t="s">
        <v>88</v>
      </c>
      <c r="D83" s="20">
        <f t="shared" si="12"/>
        <v>140334832.72000003</v>
      </c>
      <c r="E83" s="20">
        <f t="shared" si="13"/>
        <v>62104480.7</v>
      </c>
      <c r="F83" s="20"/>
      <c r="G83" s="20"/>
      <c r="H83" s="20">
        <f t="shared" si="10"/>
        <v>101219657</v>
      </c>
      <c r="I83" s="20"/>
      <c r="J83" s="20">
        <f t="shared" si="11"/>
        <v>37091798.34</v>
      </c>
      <c r="K83" s="20">
        <f t="shared" si="11"/>
        <v>7993775.279999999</v>
      </c>
      <c r="L83" s="20">
        <f t="shared" si="11"/>
        <v>55985060.035</v>
      </c>
      <c r="M83" s="20">
        <f t="shared" si="11"/>
        <v>149023.055</v>
      </c>
      <c r="N83" s="20"/>
      <c r="O83" s="20">
        <v>74183596.68</v>
      </c>
      <c r="P83" s="20">
        <v>8258130.54</v>
      </c>
      <c r="Q83" s="20">
        <v>57595059.39</v>
      </c>
      <c r="R83" s="20">
        <v>298046.11</v>
      </c>
      <c r="S83" s="20"/>
      <c r="T83" s="20">
        <v>0</v>
      </c>
      <c r="U83" s="20">
        <v>7729420.02</v>
      </c>
      <c r="V83" s="20">
        <v>54375060.68</v>
      </c>
      <c r="W83" s="20">
        <v>0</v>
      </c>
      <c r="X83" s="29"/>
    </row>
    <row r="84" spans="1:24" ht="15">
      <c r="A84" s="22">
        <f t="shared" si="15"/>
        <v>68</v>
      </c>
      <c r="B84" s="19" t="s">
        <v>510</v>
      </c>
      <c r="C84" s="76" t="s">
        <v>89</v>
      </c>
      <c r="D84" s="20">
        <f t="shared" si="12"/>
        <v>-101475685.5</v>
      </c>
      <c r="E84" s="20">
        <f t="shared" si="13"/>
        <v>-79874240.25</v>
      </c>
      <c r="F84" s="20"/>
      <c r="G84" s="20"/>
      <c r="H84" s="20">
        <f t="shared" si="10"/>
        <v>-90674963</v>
      </c>
      <c r="I84" s="20"/>
      <c r="J84" s="20">
        <f t="shared" si="11"/>
        <v>0</v>
      </c>
      <c r="K84" s="20">
        <f t="shared" si="11"/>
        <v>-12532334.149999999</v>
      </c>
      <c r="L84" s="20">
        <f t="shared" si="11"/>
        <v>-78142628.725</v>
      </c>
      <c r="M84" s="20">
        <f t="shared" si="11"/>
        <v>0</v>
      </c>
      <c r="N84" s="20"/>
      <c r="O84" s="20">
        <v>0</v>
      </c>
      <c r="P84" s="20">
        <v>-14003327.45</v>
      </c>
      <c r="Q84" s="20">
        <v>-87472358.05</v>
      </c>
      <c r="R84" s="20">
        <v>0</v>
      </c>
      <c r="S84" s="20"/>
      <c r="T84" s="20">
        <v>0</v>
      </c>
      <c r="U84" s="20">
        <v>-11061340.85</v>
      </c>
      <c r="V84" s="20">
        <v>-68812899.4</v>
      </c>
      <c r="W84" s="20">
        <v>0</v>
      </c>
      <c r="X84" s="29"/>
    </row>
    <row r="85" spans="1:24" ht="15">
      <c r="A85" s="22">
        <f t="shared" si="15"/>
        <v>69</v>
      </c>
      <c r="B85" s="19" t="s">
        <v>511</v>
      </c>
      <c r="C85" s="76" t="s">
        <v>512</v>
      </c>
      <c r="D85" s="20">
        <f t="shared" si="12"/>
        <v>2094480.85</v>
      </c>
      <c r="E85" s="20">
        <f t="shared" si="13"/>
        <v>1635896.31</v>
      </c>
      <c r="F85" s="20"/>
      <c r="G85" s="20"/>
      <c r="H85" s="20">
        <f t="shared" si="10"/>
        <v>1865189</v>
      </c>
      <c r="I85" s="20"/>
      <c r="J85" s="20">
        <f t="shared" si="11"/>
        <v>0</v>
      </c>
      <c r="K85" s="20">
        <f t="shared" si="11"/>
        <v>1865188.58</v>
      </c>
      <c r="L85" s="20">
        <f t="shared" si="11"/>
        <v>0</v>
      </c>
      <c r="M85" s="20">
        <f t="shared" si="11"/>
        <v>0</v>
      </c>
      <c r="N85" s="20"/>
      <c r="O85" s="20">
        <v>0</v>
      </c>
      <c r="P85" s="20">
        <v>2094480.85</v>
      </c>
      <c r="Q85" s="20">
        <v>0</v>
      </c>
      <c r="R85" s="20">
        <v>0</v>
      </c>
      <c r="S85" s="20"/>
      <c r="T85" s="20">
        <v>0</v>
      </c>
      <c r="U85" s="20">
        <v>1635896.31</v>
      </c>
      <c r="V85" s="20">
        <v>0</v>
      </c>
      <c r="W85" s="20">
        <v>0</v>
      </c>
      <c r="X85" s="29"/>
    </row>
    <row r="86" spans="1:24" ht="15">
      <c r="A86" s="22">
        <f t="shared" si="15"/>
        <v>70</v>
      </c>
      <c r="B86" s="19" t="s">
        <v>511</v>
      </c>
      <c r="C86" s="76" t="s">
        <v>513</v>
      </c>
      <c r="D86" s="20">
        <f t="shared" si="12"/>
        <v>4538142.33</v>
      </c>
      <c r="E86" s="20">
        <f t="shared" si="13"/>
        <v>32449.09</v>
      </c>
      <c r="F86" s="20"/>
      <c r="G86" s="20"/>
      <c r="H86" s="20">
        <f t="shared" si="10"/>
        <v>2285296</v>
      </c>
      <c r="I86" s="20"/>
      <c r="J86" s="20">
        <f>(+O86+T86)/2</f>
        <v>2251564.72</v>
      </c>
      <c r="K86" s="20">
        <f t="shared" si="11"/>
        <v>33730.99</v>
      </c>
      <c r="L86" s="20">
        <f t="shared" si="11"/>
        <v>0</v>
      </c>
      <c r="M86" s="20">
        <f t="shared" si="11"/>
        <v>0</v>
      </c>
      <c r="N86" s="20"/>
      <c r="O86" s="20">
        <v>4503129.44</v>
      </c>
      <c r="P86" s="20">
        <v>35012.89</v>
      </c>
      <c r="Q86" s="20">
        <v>0</v>
      </c>
      <c r="R86" s="20">
        <v>0</v>
      </c>
      <c r="S86" s="20"/>
      <c r="T86" s="20">
        <v>0</v>
      </c>
      <c r="U86" s="20">
        <v>32449.09</v>
      </c>
      <c r="V86" s="20">
        <v>0</v>
      </c>
      <c r="W86" s="20">
        <v>0</v>
      </c>
      <c r="X86" s="29"/>
    </row>
    <row r="87" spans="1:24" ht="15">
      <c r="A87" s="22">
        <f t="shared" si="15"/>
        <v>71</v>
      </c>
      <c r="B87" s="19" t="s">
        <v>514</v>
      </c>
      <c r="C87" s="19" t="s">
        <v>515</v>
      </c>
      <c r="D87" s="20">
        <f t="shared" si="12"/>
        <v>0</v>
      </c>
      <c r="E87" s="20">
        <f t="shared" si="13"/>
        <v>0</v>
      </c>
      <c r="F87" s="20"/>
      <c r="G87" s="20"/>
      <c r="H87" s="20">
        <f t="shared" si="10"/>
        <v>0</v>
      </c>
      <c r="I87" s="20"/>
      <c r="J87" s="20">
        <f>(+O87+T87)/2</f>
        <v>0</v>
      </c>
      <c r="K87" s="20">
        <f t="shared" si="11"/>
        <v>0</v>
      </c>
      <c r="L87" s="20">
        <f t="shared" si="11"/>
        <v>0</v>
      </c>
      <c r="M87" s="20">
        <f t="shared" si="11"/>
        <v>0</v>
      </c>
      <c r="N87" s="20"/>
      <c r="O87" s="20">
        <v>0</v>
      </c>
      <c r="P87" s="20">
        <v>0</v>
      </c>
      <c r="Q87" s="20">
        <v>0</v>
      </c>
      <c r="R87" s="20">
        <v>0</v>
      </c>
      <c r="S87" s="20"/>
      <c r="T87" s="20">
        <v>0</v>
      </c>
      <c r="U87" s="20">
        <v>0</v>
      </c>
      <c r="V87" s="20">
        <v>0</v>
      </c>
      <c r="W87" s="20">
        <v>0</v>
      </c>
      <c r="X87" s="29"/>
    </row>
    <row r="88" spans="1:24" ht="15">
      <c r="A88" s="22">
        <f t="shared" si="15"/>
        <v>72</v>
      </c>
      <c r="B88" s="19" t="s">
        <v>514</v>
      </c>
      <c r="C88" s="19" t="s">
        <v>516</v>
      </c>
      <c r="D88" s="20">
        <f t="shared" si="12"/>
        <v>7.03</v>
      </c>
      <c r="E88" s="20">
        <f t="shared" si="13"/>
        <v>0</v>
      </c>
      <c r="F88" s="20"/>
      <c r="G88" s="20"/>
      <c r="H88" s="20">
        <f t="shared" si="10"/>
        <v>4</v>
      </c>
      <c r="I88" s="20"/>
      <c r="J88" s="20">
        <f t="shared" si="11"/>
        <v>0</v>
      </c>
      <c r="K88" s="20">
        <f t="shared" si="11"/>
        <v>0</v>
      </c>
      <c r="L88" s="20">
        <f t="shared" si="11"/>
        <v>3.515</v>
      </c>
      <c r="M88" s="20">
        <f t="shared" si="11"/>
        <v>0</v>
      </c>
      <c r="N88" s="20"/>
      <c r="O88" s="20">
        <v>0</v>
      </c>
      <c r="P88" s="20">
        <v>0</v>
      </c>
      <c r="Q88" s="20">
        <v>7.03</v>
      </c>
      <c r="R88" s="20">
        <v>0</v>
      </c>
      <c r="S88" s="20"/>
      <c r="T88" s="20">
        <v>0</v>
      </c>
      <c r="U88" s="20">
        <v>0</v>
      </c>
      <c r="V88" s="20">
        <v>0</v>
      </c>
      <c r="W88" s="20">
        <v>0</v>
      </c>
      <c r="X88" s="29"/>
    </row>
    <row r="89" spans="1:24" ht="15">
      <c r="A89" s="22">
        <f t="shared" si="15"/>
        <v>73</v>
      </c>
      <c r="B89" s="19" t="s">
        <v>514</v>
      </c>
      <c r="C89" s="19" t="s">
        <v>517</v>
      </c>
      <c r="D89" s="20">
        <f t="shared" si="12"/>
        <v>0</v>
      </c>
      <c r="E89" s="20">
        <f t="shared" si="13"/>
        <v>6485073.7</v>
      </c>
      <c r="F89" s="20"/>
      <c r="G89" s="20"/>
      <c r="H89" s="20">
        <f t="shared" si="10"/>
        <v>3242537</v>
      </c>
      <c r="I89" s="20"/>
      <c r="J89" s="20">
        <f>(+O89+T89)/2</f>
        <v>0</v>
      </c>
      <c r="K89" s="20">
        <f t="shared" si="11"/>
        <v>0</v>
      </c>
      <c r="L89" s="20">
        <f t="shared" si="11"/>
        <v>3242536.85</v>
      </c>
      <c r="M89" s="20">
        <f t="shared" si="11"/>
        <v>0</v>
      </c>
      <c r="N89" s="20"/>
      <c r="O89" s="20">
        <v>0</v>
      </c>
      <c r="P89" s="20">
        <v>0</v>
      </c>
      <c r="Q89" s="20">
        <v>0</v>
      </c>
      <c r="R89" s="20">
        <v>0</v>
      </c>
      <c r="S89" s="20"/>
      <c r="T89" s="20">
        <v>0</v>
      </c>
      <c r="U89" s="20">
        <v>0</v>
      </c>
      <c r="V89" s="20">
        <v>6485073.7</v>
      </c>
      <c r="W89" s="20">
        <v>0</v>
      </c>
      <c r="X89" s="29"/>
    </row>
    <row r="90" spans="1:24" ht="15">
      <c r="A90" s="22">
        <f t="shared" si="15"/>
        <v>74</v>
      </c>
      <c r="B90" s="19" t="s">
        <v>518</v>
      </c>
      <c r="C90" s="40" t="s">
        <v>519</v>
      </c>
      <c r="D90" s="20">
        <f t="shared" si="12"/>
        <v>49240.8</v>
      </c>
      <c r="E90" s="20">
        <f t="shared" si="13"/>
        <v>0</v>
      </c>
      <c r="F90" s="20"/>
      <c r="G90" s="20"/>
      <c r="H90" s="20">
        <f t="shared" si="10"/>
        <v>24620</v>
      </c>
      <c r="I90" s="20"/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24620.4</v>
      </c>
      <c r="N90" s="20"/>
      <c r="O90" s="20">
        <v>0</v>
      </c>
      <c r="P90" s="20">
        <v>0</v>
      </c>
      <c r="Q90" s="20">
        <v>0</v>
      </c>
      <c r="R90" s="20">
        <v>49240.8</v>
      </c>
      <c r="S90" s="20"/>
      <c r="T90" s="20">
        <v>0</v>
      </c>
      <c r="U90" s="20">
        <v>0</v>
      </c>
      <c r="V90" s="20">
        <v>0</v>
      </c>
      <c r="W90" s="20">
        <v>0</v>
      </c>
      <c r="X90" s="29"/>
    </row>
    <row r="91" spans="1:24" ht="15">
      <c r="A91" s="22">
        <f t="shared" si="15"/>
        <v>75</v>
      </c>
      <c r="B91" s="19" t="s">
        <v>518</v>
      </c>
      <c r="C91" s="40" t="s">
        <v>520</v>
      </c>
      <c r="D91" s="20">
        <f t="shared" si="12"/>
        <v>-0.95</v>
      </c>
      <c r="E91" s="20">
        <f t="shared" si="13"/>
        <v>0</v>
      </c>
      <c r="F91" s="20"/>
      <c r="G91" s="20"/>
      <c r="H91" s="20">
        <f t="shared" si="10"/>
        <v>0</v>
      </c>
      <c r="I91" s="20"/>
      <c r="J91" s="20">
        <f>(+O91+T91)/2</f>
        <v>-0.475</v>
      </c>
      <c r="K91" s="20">
        <f t="shared" si="11"/>
        <v>0</v>
      </c>
      <c r="L91" s="20">
        <f t="shared" si="11"/>
        <v>0</v>
      </c>
      <c r="M91" s="20">
        <f t="shared" si="11"/>
        <v>0</v>
      </c>
      <c r="N91" s="20"/>
      <c r="O91" s="20">
        <v>-0.95</v>
      </c>
      <c r="P91" s="20">
        <v>0</v>
      </c>
      <c r="Q91" s="20">
        <v>0</v>
      </c>
      <c r="R91" s="20">
        <v>0</v>
      </c>
      <c r="S91" s="20"/>
      <c r="T91" s="20">
        <v>0</v>
      </c>
      <c r="U91" s="20">
        <v>0</v>
      </c>
      <c r="V91" s="20">
        <v>0</v>
      </c>
      <c r="W91" s="20">
        <v>0</v>
      </c>
      <c r="X91" s="29"/>
    </row>
    <row r="92" spans="1:24" ht="15">
      <c r="A92" s="22">
        <f t="shared" si="15"/>
        <v>76</v>
      </c>
      <c r="B92" s="19" t="s">
        <v>521</v>
      </c>
      <c r="C92" s="40" t="s">
        <v>522</v>
      </c>
      <c r="D92" s="20">
        <f t="shared" si="12"/>
        <v>0.15</v>
      </c>
      <c r="E92" s="20">
        <f t="shared" si="13"/>
        <v>0</v>
      </c>
      <c r="F92" s="20"/>
      <c r="G92" s="20"/>
      <c r="H92" s="20">
        <f t="shared" si="10"/>
        <v>0</v>
      </c>
      <c r="I92" s="20"/>
      <c r="J92" s="20">
        <f t="shared" si="11"/>
        <v>0</v>
      </c>
      <c r="K92" s="20">
        <f t="shared" si="11"/>
        <v>0.075</v>
      </c>
      <c r="L92" s="20">
        <f t="shared" si="11"/>
        <v>0</v>
      </c>
      <c r="M92" s="20">
        <f t="shared" si="11"/>
        <v>0</v>
      </c>
      <c r="N92" s="20"/>
      <c r="O92" s="20">
        <v>0</v>
      </c>
      <c r="P92" s="20">
        <v>0.15</v>
      </c>
      <c r="Q92" s="20">
        <v>0</v>
      </c>
      <c r="R92" s="20">
        <v>0</v>
      </c>
      <c r="S92" s="20"/>
      <c r="T92" s="20">
        <v>0</v>
      </c>
      <c r="U92" s="20">
        <v>0</v>
      </c>
      <c r="V92" s="20">
        <v>0</v>
      </c>
      <c r="W92" s="20">
        <v>0</v>
      </c>
      <c r="X92" s="29"/>
    </row>
    <row r="93" spans="1:24" ht="15">
      <c r="A93" s="22">
        <f t="shared" si="15"/>
        <v>77</v>
      </c>
      <c r="B93" s="19" t="s">
        <v>523</v>
      </c>
      <c r="C93" s="40" t="s">
        <v>295</v>
      </c>
      <c r="D93" s="20">
        <f t="shared" si="12"/>
        <v>20435912.45</v>
      </c>
      <c r="E93" s="20">
        <f t="shared" si="13"/>
        <v>0</v>
      </c>
      <c r="F93" s="20"/>
      <c r="G93" s="20"/>
      <c r="H93" s="20">
        <f t="shared" si="10"/>
        <v>10217956</v>
      </c>
      <c r="I93" s="20"/>
      <c r="J93" s="20">
        <f t="shared" si="11"/>
        <v>10217956.225</v>
      </c>
      <c r="K93" s="20">
        <f t="shared" si="11"/>
        <v>0</v>
      </c>
      <c r="L93" s="20">
        <f t="shared" si="11"/>
        <v>0</v>
      </c>
      <c r="M93" s="20">
        <f t="shared" si="11"/>
        <v>0</v>
      </c>
      <c r="N93" s="20"/>
      <c r="O93" s="20">
        <v>20435912.45</v>
      </c>
      <c r="P93" s="20">
        <v>0</v>
      </c>
      <c r="Q93" s="20">
        <v>0</v>
      </c>
      <c r="R93" s="20">
        <v>0</v>
      </c>
      <c r="S93" s="20"/>
      <c r="T93" s="20">
        <v>0</v>
      </c>
      <c r="U93" s="20">
        <v>0</v>
      </c>
      <c r="V93" s="20">
        <v>0</v>
      </c>
      <c r="W93" s="20">
        <v>0</v>
      </c>
      <c r="X93" s="29"/>
    </row>
    <row r="94" spans="1:24" ht="15">
      <c r="A94" s="22">
        <f t="shared" si="15"/>
        <v>78</v>
      </c>
      <c r="B94" s="19" t="s">
        <v>524</v>
      </c>
      <c r="C94" s="40" t="s">
        <v>525</v>
      </c>
      <c r="D94" s="20">
        <f t="shared" si="12"/>
        <v>1602465.9</v>
      </c>
      <c r="E94" s="20">
        <f t="shared" si="13"/>
        <v>0</v>
      </c>
      <c r="F94" s="20"/>
      <c r="G94" s="20"/>
      <c r="H94" s="20">
        <f t="shared" si="10"/>
        <v>801233</v>
      </c>
      <c r="I94" s="20"/>
      <c r="J94" s="20">
        <f t="shared" si="11"/>
        <v>801232.95</v>
      </c>
      <c r="K94" s="20">
        <f t="shared" si="11"/>
        <v>0</v>
      </c>
      <c r="L94" s="20">
        <f t="shared" si="11"/>
        <v>0</v>
      </c>
      <c r="M94" s="20">
        <f t="shared" si="11"/>
        <v>0</v>
      </c>
      <c r="N94" s="20"/>
      <c r="O94" s="20">
        <v>1602465.9</v>
      </c>
      <c r="P94" s="20">
        <v>0</v>
      </c>
      <c r="Q94" s="20">
        <v>0</v>
      </c>
      <c r="R94" s="20">
        <v>0</v>
      </c>
      <c r="S94" s="20"/>
      <c r="T94" s="20">
        <v>0</v>
      </c>
      <c r="U94" s="20">
        <v>0</v>
      </c>
      <c r="V94" s="20">
        <v>0</v>
      </c>
      <c r="W94" s="20">
        <v>0</v>
      </c>
      <c r="X94" s="29"/>
    </row>
    <row r="95" spans="1:24" ht="15">
      <c r="A95" s="22">
        <f t="shared" si="15"/>
        <v>79</v>
      </c>
      <c r="B95" s="19" t="s">
        <v>526</v>
      </c>
      <c r="C95" s="40" t="s">
        <v>296</v>
      </c>
      <c r="D95" s="20">
        <f t="shared" si="12"/>
        <v>-3249271.8</v>
      </c>
      <c r="E95" s="20">
        <f t="shared" si="13"/>
        <v>0</v>
      </c>
      <c r="F95" s="20"/>
      <c r="G95" s="20"/>
      <c r="H95" s="20">
        <f t="shared" si="10"/>
        <v>-1624636</v>
      </c>
      <c r="I95" s="20"/>
      <c r="J95" s="20">
        <f t="shared" si="11"/>
        <v>-1624635.9</v>
      </c>
      <c r="K95" s="20">
        <f t="shared" si="11"/>
        <v>0</v>
      </c>
      <c r="L95" s="20">
        <f t="shared" si="11"/>
        <v>0</v>
      </c>
      <c r="M95" s="20">
        <f t="shared" si="11"/>
        <v>0</v>
      </c>
      <c r="N95" s="20"/>
      <c r="O95" s="20">
        <v>-3249271.8</v>
      </c>
      <c r="P95" s="20">
        <v>0</v>
      </c>
      <c r="Q95" s="20">
        <v>0</v>
      </c>
      <c r="R95" s="20">
        <v>0</v>
      </c>
      <c r="S95" s="20"/>
      <c r="T95" s="20">
        <v>0</v>
      </c>
      <c r="U95" s="20">
        <v>0</v>
      </c>
      <c r="V95" s="20">
        <v>0</v>
      </c>
      <c r="W95" s="20">
        <v>0</v>
      </c>
      <c r="X95" s="29"/>
    </row>
    <row r="96" spans="1:24" ht="15">
      <c r="A96" s="22">
        <f t="shared" si="15"/>
        <v>80</v>
      </c>
      <c r="B96" s="19" t="s">
        <v>527</v>
      </c>
      <c r="C96" s="40" t="s">
        <v>98</v>
      </c>
      <c r="D96" s="20">
        <f t="shared" si="12"/>
        <v>-123174.3</v>
      </c>
      <c r="E96" s="20">
        <f t="shared" si="13"/>
        <v>0</v>
      </c>
      <c r="F96" s="20"/>
      <c r="G96" s="20"/>
      <c r="H96" s="20">
        <f t="shared" si="10"/>
        <v>-61587</v>
      </c>
      <c r="I96" s="20"/>
      <c r="J96" s="20">
        <f t="shared" si="11"/>
        <v>-61587.15</v>
      </c>
      <c r="K96" s="20">
        <f t="shared" si="11"/>
        <v>0</v>
      </c>
      <c r="L96" s="20">
        <f t="shared" si="11"/>
        <v>0</v>
      </c>
      <c r="M96" s="20">
        <f t="shared" si="11"/>
        <v>0</v>
      </c>
      <c r="N96" s="20"/>
      <c r="O96" s="20">
        <v>-123174.3</v>
      </c>
      <c r="P96" s="20">
        <v>0</v>
      </c>
      <c r="Q96" s="20">
        <v>0</v>
      </c>
      <c r="R96" s="20">
        <v>0</v>
      </c>
      <c r="S96" s="20"/>
      <c r="T96" s="20">
        <v>0</v>
      </c>
      <c r="U96" s="20">
        <v>0</v>
      </c>
      <c r="V96" s="20">
        <v>0</v>
      </c>
      <c r="W96" s="20">
        <v>0</v>
      </c>
      <c r="X96" s="29"/>
    </row>
    <row r="97" spans="1:24" ht="15">
      <c r="A97" s="22">
        <f t="shared" si="15"/>
        <v>81</v>
      </c>
      <c r="B97" s="19" t="s">
        <v>528</v>
      </c>
      <c r="C97" s="40" t="s">
        <v>529</v>
      </c>
      <c r="D97" s="20">
        <f t="shared" si="12"/>
        <v>1087557.01</v>
      </c>
      <c r="E97" s="20">
        <f t="shared" si="13"/>
        <v>0</v>
      </c>
      <c r="F97" s="20"/>
      <c r="G97" s="20"/>
      <c r="H97" s="20">
        <f t="shared" si="10"/>
        <v>543779</v>
      </c>
      <c r="I97" s="20"/>
      <c r="J97" s="20">
        <f t="shared" si="11"/>
        <v>543778.5</v>
      </c>
      <c r="K97" s="20">
        <f t="shared" si="11"/>
        <v>0</v>
      </c>
      <c r="L97" s="20">
        <f t="shared" si="11"/>
        <v>0.005</v>
      </c>
      <c r="M97" s="20">
        <f t="shared" si="11"/>
        <v>0</v>
      </c>
      <c r="N97" s="20"/>
      <c r="O97" s="20">
        <v>1087557</v>
      </c>
      <c r="P97" s="20">
        <v>0</v>
      </c>
      <c r="Q97" s="20">
        <v>0.01</v>
      </c>
      <c r="R97" s="20">
        <v>0</v>
      </c>
      <c r="S97" s="20"/>
      <c r="T97" s="20">
        <v>0</v>
      </c>
      <c r="U97" s="20">
        <v>0</v>
      </c>
      <c r="V97" s="20">
        <v>0</v>
      </c>
      <c r="W97" s="20">
        <v>0</v>
      </c>
      <c r="X97" s="29"/>
    </row>
    <row r="98" spans="1:24" ht="15">
      <c r="A98" s="22">
        <f t="shared" si="15"/>
        <v>82</v>
      </c>
      <c r="B98" s="19" t="s">
        <v>530</v>
      </c>
      <c r="C98" s="76" t="s">
        <v>531</v>
      </c>
      <c r="D98" s="20">
        <f t="shared" si="12"/>
        <v>-785482.23</v>
      </c>
      <c r="E98" s="20">
        <f t="shared" si="13"/>
        <v>-603462.1</v>
      </c>
      <c r="F98" s="20"/>
      <c r="G98" s="20"/>
      <c r="H98" s="20">
        <f t="shared" si="10"/>
        <v>-694472</v>
      </c>
      <c r="I98" s="20"/>
      <c r="J98" s="20">
        <f t="shared" si="11"/>
        <v>0</v>
      </c>
      <c r="K98" s="20">
        <f t="shared" si="11"/>
        <v>0</v>
      </c>
      <c r="L98" s="20">
        <f t="shared" si="11"/>
        <v>-694472.165</v>
      </c>
      <c r="M98" s="20">
        <f t="shared" si="11"/>
        <v>0</v>
      </c>
      <c r="N98" s="20"/>
      <c r="O98" s="20">
        <v>0</v>
      </c>
      <c r="P98" s="20">
        <v>0</v>
      </c>
      <c r="Q98" s="20">
        <v>-785482.23</v>
      </c>
      <c r="R98" s="20">
        <v>0</v>
      </c>
      <c r="S98" s="20"/>
      <c r="T98" s="20">
        <v>0</v>
      </c>
      <c r="U98" s="20">
        <v>0</v>
      </c>
      <c r="V98" s="20">
        <v>-603462.1</v>
      </c>
      <c r="W98" s="20">
        <v>0</v>
      </c>
      <c r="X98" s="29"/>
    </row>
    <row r="99" spans="1:24" ht="15">
      <c r="A99" s="22">
        <f t="shared" si="15"/>
        <v>83</v>
      </c>
      <c r="B99" s="19" t="s">
        <v>532</v>
      </c>
      <c r="C99" s="76" t="s">
        <v>533</v>
      </c>
      <c r="D99" s="20">
        <f t="shared" si="12"/>
        <v>0.02</v>
      </c>
      <c r="E99" s="20">
        <f t="shared" si="13"/>
        <v>0</v>
      </c>
      <c r="F99" s="20"/>
      <c r="G99" s="20"/>
      <c r="H99" s="20">
        <f t="shared" si="10"/>
        <v>0</v>
      </c>
      <c r="I99" s="20"/>
      <c r="J99" s="20">
        <f t="shared" si="11"/>
        <v>0</v>
      </c>
      <c r="K99" s="20">
        <f t="shared" si="11"/>
        <v>0</v>
      </c>
      <c r="L99" s="20">
        <f t="shared" si="11"/>
        <v>0.01</v>
      </c>
      <c r="M99" s="20">
        <f t="shared" si="11"/>
        <v>0</v>
      </c>
      <c r="N99" s="20"/>
      <c r="O99" s="20">
        <v>0</v>
      </c>
      <c r="P99" s="20">
        <v>0</v>
      </c>
      <c r="Q99" s="20">
        <v>0.02</v>
      </c>
      <c r="R99" s="20">
        <v>0</v>
      </c>
      <c r="S99" s="20"/>
      <c r="T99" s="20">
        <v>0</v>
      </c>
      <c r="U99" s="20">
        <v>0</v>
      </c>
      <c r="V99" s="20">
        <v>0</v>
      </c>
      <c r="W99" s="20">
        <v>0</v>
      </c>
      <c r="X99" s="29"/>
    </row>
    <row r="100" spans="1:24" ht="15">
      <c r="A100" s="22">
        <f t="shared" si="15"/>
        <v>84</v>
      </c>
      <c r="B100" s="19" t="s">
        <v>534</v>
      </c>
      <c r="C100" s="40" t="s">
        <v>535</v>
      </c>
      <c r="D100" s="20">
        <f t="shared" si="12"/>
        <v>-0.69</v>
      </c>
      <c r="E100" s="20">
        <f t="shared" si="13"/>
        <v>0</v>
      </c>
      <c r="F100" s="20"/>
      <c r="G100" s="20"/>
      <c r="H100" s="20">
        <f t="shared" si="10"/>
        <v>0</v>
      </c>
      <c r="I100" s="20"/>
      <c r="J100" s="20">
        <f t="shared" si="11"/>
        <v>0</v>
      </c>
      <c r="K100" s="20">
        <f t="shared" si="11"/>
        <v>0</v>
      </c>
      <c r="L100" s="20">
        <f t="shared" si="11"/>
        <v>-0.345</v>
      </c>
      <c r="M100" s="20">
        <f t="shared" si="11"/>
        <v>0</v>
      </c>
      <c r="N100" s="20"/>
      <c r="O100" s="20">
        <v>0</v>
      </c>
      <c r="P100" s="20">
        <v>0</v>
      </c>
      <c r="Q100" s="20">
        <v>-0.69</v>
      </c>
      <c r="R100" s="20">
        <v>0</v>
      </c>
      <c r="S100" s="20"/>
      <c r="T100" s="20">
        <v>0</v>
      </c>
      <c r="U100" s="20">
        <v>0</v>
      </c>
      <c r="V100" s="20">
        <v>0</v>
      </c>
      <c r="W100" s="20">
        <v>0</v>
      </c>
      <c r="X100" s="29"/>
    </row>
    <row r="101" spans="1:24" ht="15">
      <c r="A101" s="22">
        <f t="shared" si="15"/>
        <v>85</v>
      </c>
      <c r="B101" s="19" t="s">
        <v>536</v>
      </c>
      <c r="C101" s="76" t="s">
        <v>537</v>
      </c>
      <c r="D101" s="20">
        <f t="shared" si="12"/>
        <v>-349028.49</v>
      </c>
      <c r="E101" s="20">
        <f t="shared" si="13"/>
        <v>0</v>
      </c>
      <c r="F101" s="20"/>
      <c r="G101" s="20"/>
      <c r="H101" s="20">
        <f t="shared" si="10"/>
        <v>-174514</v>
      </c>
      <c r="I101" s="20"/>
      <c r="J101" s="20">
        <f t="shared" si="11"/>
        <v>0</v>
      </c>
      <c r="K101" s="20">
        <f t="shared" si="11"/>
        <v>0</v>
      </c>
      <c r="L101" s="20">
        <f t="shared" si="11"/>
        <v>-174514.245</v>
      </c>
      <c r="M101" s="20">
        <f t="shared" si="11"/>
        <v>0</v>
      </c>
      <c r="N101" s="20"/>
      <c r="O101" s="20">
        <v>0</v>
      </c>
      <c r="P101" s="20">
        <v>0</v>
      </c>
      <c r="Q101" s="20">
        <v>-349028.49</v>
      </c>
      <c r="R101" s="20">
        <v>0</v>
      </c>
      <c r="S101" s="20"/>
      <c r="T101" s="20">
        <v>0</v>
      </c>
      <c r="U101" s="20">
        <v>0</v>
      </c>
      <c r="V101" s="20">
        <v>0</v>
      </c>
      <c r="W101" s="20">
        <v>0</v>
      </c>
      <c r="X101" s="29"/>
    </row>
    <row r="102" spans="1:24" ht="15">
      <c r="A102" s="22">
        <f t="shared" si="15"/>
        <v>86</v>
      </c>
      <c r="B102" s="19" t="s">
        <v>536</v>
      </c>
      <c r="C102" s="40" t="s">
        <v>538</v>
      </c>
      <c r="D102" s="20">
        <f t="shared" si="12"/>
        <v>4709625.89</v>
      </c>
      <c r="E102" s="20">
        <f t="shared" si="13"/>
        <v>20214777.61</v>
      </c>
      <c r="F102" s="20"/>
      <c r="G102" s="20"/>
      <c r="H102" s="20">
        <f t="shared" si="10"/>
        <v>12462202</v>
      </c>
      <c r="I102" s="20"/>
      <c r="J102" s="20">
        <f aca="true" t="shared" si="16" ref="J102:M117">(+O102+T102)/2</f>
        <v>0</v>
      </c>
      <c r="K102" s="20">
        <f t="shared" si="16"/>
        <v>12462201.75</v>
      </c>
      <c r="L102" s="20">
        <f t="shared" si="16"/>
        <v>0</v>
      </c>
      <c r="M102" s="20">
        <f t="shared" si="16"/>
        <v>0</v>
      </c>
      <c r="N102" s="20"/>
      <c r="O102" s="20">
        <v>0</v>
      </c>
      <c r="P102" s="20">
        <v>4709625.89</v>
      </c>
      <c r="Q102" s="20">
        <v>0</v>
      </c>
      <c r="R102" s="20">
        <v>0</v>
      </c>
      <c r="S102" s="20"/>
      <c r="T102" s="20">
        <v>0</v>
      </c>
      <c r="U102" s="20">
        <v>20214777.61</v>
      </c>
      <c r="V102" s="20">
        <v>0</v>
      </c>
      <c r="W102" s="20">
        <v>0</v>
      </c>
      <c r="X102" s="29"/>
    </row>
    <row r="103" spans="1:24" ht="15">
      <c r="A103" s="22">
        <f t="shared" si="15"/>
        <v>87</v>
      </c>
      <c r="B103" s="19" t="s">
        <v>536</v>
      </c>
      <c r="C103" s="40" t="s">
        <v>539</v>
      </c>
      <c r="D103" s="20">
        <f t="shared" si="12"/>
        <v>504454.93</v>
      </c>
      <c r="E103" s="20">
        <f t="shared" si="13"/>
        <v>1179068.22</v>
      </c>
      <c r="F103" s="20"/>
      <c r="G103" s="20"/>
      <c r="H103" s="20">
        <f t="shared" si="10"/>
        <v>841762</v>
      </c>
      <c r="I103" s="20"/>
      <c r="J103" s="20">
        <f t="shared" si="16"/>
        <v>0</v>
      </c>
      <c r="K103" s="20">
        <f>(+P103+U103)/2</f>
        <v>841761.575</v>
      </c>
      <c r="L103" s="20">
        <f>(+Q103+V103)/2</f>
        <v>0</v>
      </c>
      <c r="M103" s="20">
        <f t="shared" si="16"/>
        <v>0</v>
      </c>
      <c r="N103" s="20"/>
      <c r="O103" s="20">
        <v>0</v>
      </c>
      <c r="P103" s="20">
        <v>504454.93</v>
      </c>
      <c r="Q103" s="20">
        <v>0</v>
      </c>
      <c r="R103" s="20">
        <v>0</v>
      </c>
      <c r="S103" s="20"/>
      <c r="T103" s="20">
        <v>0</v>
      </c>
      <c r="U103" s="20">
        <v>1179068.22</v>
      </c>
      <c r="V103" s="20">
        <v>0</v>
      </c>
      <c r="W103" s="20">
        <v>0</v>
      </c>
      <c r="X103" s="29"/>
    </row>
    <row r="104" spans="1:24" ht="15">
      <c r="A104" s="22">
        <f t="shared" si="15"/>
        <v>88</v>
      </c>
      <c r="B104" s="19" t="s">
        <v>540</v>
      </c>
      <c r="C104" s="76" t="s">
        <v>541</v>
      </c>
      <c r="D104" s="20">
        <f t="shared" si="12"/>
        <v>15.75</v>
      </c>
      <c r="E104" s="20">
        <f t="shared" si="13"/>
        <v>0</v>
      </c>
      <c r="F104" s="20"/>
      <c r="G104" s="20"/>
      <c r="H104" s="20">
        <f t="shared" si="10"/>
        <v>8</v>
      </c>
      <c r="I104" s="20"/>
      <c r="J104" s="20">
        <f t="shared" si="16"/>
        <v>0</v>
      </c>
      <c r="K104" s="20">
        <f t="shared" si="16"/>
        <v>0</v>
      </c>
      <c r="L104" s="20">
        <f t="shared" si="16"/>
        <v>7.875</v>
      </c>
      <c r="M104" s="20">
        <f t="shared" si="16"/>
        <v>0</v>
      </c>
      <c r="N104" s="20"/>
      <c r="O104" s="20">
        <v>0</v>
      </c>
      <c r="P104" s="20">
        <v>0</v>
      </c>
      <c r="Q104" s="20">
        <v>15.75</v>
      </c>
      <c r="R104" s="20">
        <v>0</v>
      </c>
      <c r="S104" s="20"/>
      <c r="T104" s="20">
        <v>0</v>
      </c>
      <c r="U104" s="20">
        <v>0</v>
      </c>
      <c r="V104" s="20">
        <v>0</v>
      </c>
      <c r="W104" s="20">
        <v>0</v>
      </c>
      <c r="X104" s="29"/>
    </row>
    <row r="105" spans="1:24" ht="15">
      <c r="A105" s="22">
        <f t="shared" si="15"/>
        <v>89</v>
      </c>
      <c r="B105" s="19" t="s">
        <v>542</v>
      </c>
      <c r="C105" s="76" t="s">
        <v>543</v>
      </c>
      <c r="D105" s="20">
        <f t="shared" si="12"/>
        <v>101475685.5</v>
      </c>
      <c r="E105" s="20">
        <f t="shared" si="13"/>
        <v>79874240.25</v>
      </c>
      <c r="F105" s="20"/>
      <c r="G105" s="20"/>
      <c r="H105" s="20">
        <f t="shared" si="10"/>
        <v>90674963</v>
      </c>
      <c r="I105" s="20"/>
      <c r="J105" s="20">
        <f t="shared" si="16"/>
        <v>0</v>
      </c>
      <c r="K105" s="20">
        <f t="shared" si="16"/>
        <v>12532334.149999999</v>
      </c>
      <c r="L105" s="20">
        <f t="shared" si="16"/>
        <v>78142628.725</v>
      </c>
      <c r="M105" s="20">
        <f t="shared" si="16"/>
        <v>0</v>
      </c>
      <c r="N105" s="20"/>
      <c r="O105" s="20">
        <v>0</v>
      </c>
      <c r="P105" s="20">
        <v>14003327.45</v>
      </c>
      <c r="Q105" s="20">
        <v>87472358.05</v>
      </c>
      <c r="R105" s="20">
        <v>0</v>
      </c>
      <c r="S105" s="20"/>
      <c r="T105" s="20">
        <v>0</v>
      </c>
      <c r="U105" s="20">
        <v>11061340.85</v>
      </c>
      <c r="V105" s="20">
        <v>68812899.4</v>
      </c>
      <c r="W105" s="20">
        <v>0</v>
      </c>
      <c r="X105" s="29"/>
    </row>
    <row r="106" spans="1:24" ht="15">
      <c r="A106" s="22">
        <f t="shared" si="15"/>
        <v>90</v>
      </c>
      <c r="B106" s="19" t="s">
        <v>544</v>
      </c>
      <c r="C106" s="76" t="s">
        <v>545</v>
      </c>
      <c r="D106" s="20">
        <f t="shared" si="12"/>
        <v>0.35</v>
      </c>
      <c r="E106" s="20">
        <f t="shared" si="13"/>
        <v>1936.9</v>
      </c>
      <c r="F106" s="20"/>
      <c r="G106" s="20"/>
      <c r="H106" s="20">
        <f t="shared" si="10"/>
        <v>969</v>
      </c>
      <c r="I106" s="20"/>
      <c r="J106" s="20">
        <f t="shared" si="16"/>
        <v>0</v>
      </c>
      <c r="K106" s="20">
        <f t="shared" si="16"/>
        <v>0</v>
      </c>
      <c r="L106" s="20">
        <f t="shared" si="16"/>
        <v>968.625</v>
      </c>
      <c r="M106" s="20">
        <f t="shared" si="16"/>
        <v>0</v>
      </c>
      <c r="N106" s="20"/>
      <c r="O106" s="20">
        <v>0</v>
      </c>
      <c r="P106" s="20">
        <v>0</v>
      </c>
      <c r="Q106" s="20">
        <v>0.35</v>
      </c>
      <c r="R106" s="20">
        <v>0</v>
      </c>
      <c r="S106" s="20"/>
      <c r="T106" s="20">
        <v>0</v>
      </c>
      <c r="U106" s="20">
        <v>0</v>
      </c>
      <c r="V106" s="20">
        <v>1936.9</v>
      </c>
      <c r="W106" s="20">
        <v>0</v>
      </c>
      <c r="X106" s="29"/>
    </row>
    <row r="107" spans="1:24" ht="15">
      <c r="A107" s="22">
        <f t="shared" si="15"/>
        <v>91</v>
      </c>
      <c r="B107" s="19" t="s">
        <v>546</v>
      </c>
      <c r="C107" s="76" t="s">
        <v>547</v>
      </c>
      <c r="D107" s="20">
        <f t="shared" si="12"/>
        <v>6913855.65</v>
      </c>
      <c r="E107" s="20">
        <f t="shared" si="13"/>
        <v>-13823555.29</v>
      </c>
      <c r="F107" s="20"/>
      <c r="G107" s="20"/>
      <c r="H107" s="20">
        <f t="shared" si="10"/>
        <v>-3454850</v>
      </c>
      <c r="I107" s="20"/>
      <c r="J107" s="20">
        <f t="shared" si="16"/>
        <v>0</v>
      </c>
      <c r="K107" s="20">
        <f t="shared" si="16"/>
        <v>-444965.07</v>
      </c>
      <c r="L107" s="20">
        <f t="shared" si="16"/>
        <v>-3009884.75</v>
      </c>
      <c r="M107" s="20">
        <f t="shared" si="16"/>
        <v>0</v>
      </c>
      <c r="N107" s="20"/>
      <c r="O107" s="20">
        <v>0</v>
      </c>
      <c r="P107" s="20">
        <v>954323.15</v>
      </c>
      <c r="Q107" s="20">
        <v>5959532.5</v>
      </c>
      <c r="R107" s="20">
        <v>0</v>
      </c>
      <c r="S107" s="20"/>
      <c r="T107" s="20">
        <v>0</v>
      </c>
      <c r="U107" s="20">
        <v>-1844253.29</v>
      </c>
      <c r="V107" s="20">
        <v>-11979302</v>
      </c>
      <c r="W107" s="20">
        <v>0</v>
      </c>
      <c r="X107" s="29"/>
    </row>
    <row r="108" spans="1:24" ht="15">
      <c r="A108" s="22">
        <f t="shared" si="15"/>
        <v>92</v>
      </c>
      <c r="B108" s="19" t="s">
        <v>546</v>
      </c>
      <c r="C108" s="76" t="s">
        <v>548</v>
      </c>
      <c r="D108" s="20">
        <f t="shared" si="12"/>
        <v>195040.65</v>
      </c>
      <c r="E108" s="20">
        <f t="shared" si="13"/>
        <v>2392758.55</v>
      </c>
      <c r="F108" s="20"/>
      <c r="G108" s="20"/>
      <c r="H108" s="20">
        <f t="shared" si="10"/>
        <v>1293900</v>
      </c>
      <c r="I108" s="20"/>
      <c r="J108" s="20">
        <f t="shared" si="16"/>
        <v>0</v>
      </c>
      <c r="K108" s="20">
        <f t="shared" si="16"/>
        <v>0</v>
      </c>
      <c r="L108" s="20">
        <f t="shared" si="16"/>
        <v>1293899.5999999999</v>
      </c>
      <c r="M108" s="20">
        <f t="shared" si="16"/>
        <v>0</v>
      </c>
      <c r="N108" s="20"/>
      <c r="O108" s="20">
        <v>0</v>
      </c>
      <c r="P108" s="20">
        <v>0</v>
      </c>
      <c r="Q108" s="20">
        <v>195040.65</v>
      </c>
      <c r="R108" s="20">
        <v>0</v>
      </c>
      <c r="S108" s="20"/>
      <c r="T108" s="20">
        <v>0</v>
      </c>
      <c r="U108" s="20">
        <v>0</v>
      </c>
      <c r="V108" s="20">
        <v>2392758.55</v>
      </c>
      <c r="W108" s="20">
        <v>0</v>
      </c>
      <c r="X108" s="29"/>
    </row>
    <row r="109" spans="1:24" ht="15">
      <c r="A109" s="22">
        <f t="shared" si="15"/>
        <v>93</v>
      </c>
      <c r="B109" s="19" t="s">
        <v>546</v>
      </c>
      <c r="C109" s="76" t="s">
        <v>707</v>
      </c>
      <c r="D109" s="20">
        <f>SUM(O109:R109)</f>
        <v>0</v>
      </c>
      <c r="E109" s="20">
        <f>SUM(T109:W109)</f>
        <v>314449.8</v>
      </c>
      <c r="F109" s="20"/>
      <c r="G109" s="20"/>
      <c r="H109" s="20">
        <f>ROUND(SUM(D109:G109)/2,0)</f>
        <v>157225</v>
      </c>
      <c r="I109" s="20"/>
      <c r="J109" s="20">
        <f t="shared" si="16"/>
        <v>0</v>
      </c>
      <c r="K109" s="20">
        <f t="shared" si="16"/>
        <v>0</v>
      </c>
      <c r="L109" s="20">
        <f t="shared" si="16"/>
        <v>157224.9</v>
      </c>
      <c r="M109" s="20">
        <f t="shared" si="16"/>
        <v>0</v>
      </c>
      <c r="N109" s="20"/>
      <c r="O109" s="20">
        <v>0</v>
      </c>
      <c r="P109" s="20">
        <v>0</v>
      </c>
      <c r="Q109" s="20">
        <v>0</v>
      </c>
      <c r="R109" s="20">
        <v>0</v>
      </c>
      <c r="S109" s="20"/>
      <c r="T109" s="20">
        <v>0</v>
      </c>
      <c r="U109" s="20">
        <v>0</v>
      </c>
      <c r="V109" s="20">
        <v>314449.8</v>
      </c>
      <c r="W109" s="20">
        <v>0</v>
      </c>
      <c r="X109" s="29"/>
    </row>
    <row r="110" spans="1:24" ht="15">
      <c r="A110" s="22">
        <f t="shared" si="15"/>
        <v>94</v>
      </c>
      <c r="B110" s="19" t="s">
        <v>546</v>
      </c>
      <c r="C110" s="76" t="s">
        <v>708</v>
      </c>
      <c r="D110" s="20">
        <f>SUM(O110:R110)</f>
        <v>0</v>
      </c>
      <c r="E110" s="20">
        <f>SUM(T110:W110)</f>
        <v>1621222.4</v>
      </c>
      <c r="F110" s="20"/>
      <c r="G110" s="20"/>
      <c r="H110" s="20">
        <f>ROUND(SUM(D110:G110)/2,0)</f>
        <v>810611</v>
      </c>
      <c r="I110" s="20"/>
      <c r="J110" s="20">
        <f t="shared" si="16"/>
        <v>0</v>
      </c>
      <c r="K110" s="20">
        <f t="shared" si="16"/>
        <v>0</v>
      </c>
      <c r="L110" s="20">
        <f t="shared" si="16"/>
        <v>810611.2</v>
      </c>
      <c r="M110" s="20">
        <f t="shared" si="16"/>
        <v>0</v>
      </c>
      <c r="N110" s="20"/>
      <c r="O110" s="20">
        <v>0</v>
      </c>
      <c r="P110" s="20">
        <v>0</v>
      </c>
      <c r="Q110" s="20">
        <v>0</v>
      </c>
      <c r="R110" s="20">
        <v>0</v>
      </c>
      <c r="S110" s="20"/>
      <c r="T110" s="20">
        <v>0</v>
      </c>
      <c r="U110" s="20">
        <v>0</v>
      </c>
      <c r="V110" s="20">
        <v>1621222.4</v>
      </c>
      <c r="W110" s="20">
        <v>0</v>
      </c>
      <c r="X110" s="29"/>
    </row>
    <row r="111" spans="1:24" ht="15">
      <c r="A111" s="22">
        <f t="shared" si="15"/>
        <v>95</v>
      </c>
      <c r="B111" s="19" t="s">
        <v>546</v>
      </c>
      <c r="C111" s="76" t="s">
        <v>709</v>
      </c>
      <c r="D111" s="20">
        <f>SUM(O111:R111)</f>
        <v>0</v>
      </c>
      <c r="E111" s="20">
        <f>SUM(T111:W111)</f>
        <v>1643324.2</v>
      </c>
      <c r="F111" s="20"/>
      <c r="G111" s="20"/>
      <c r="H111" s="20">
        <f>ROUND(SUM(D111:G111)/2,0)</f>
        <v>821662</v>
      </c>
      <c r="I111" s="20"/>
      <c r="J111" s="20">
        <f t="shared" si="16"/>
        <v>0</v>
      </c>
      <c r="K111" s="20">
        <f t="shared" si="16"/>
        <v>0</v>
      </c>
      <c r="L111" s="20">
        <f t="shared" si="16"/>
        <v>821662.1</v>
      </c>
      <c r="M111" s="20">
        <f t="shared" si="16"/>
        <v>0</v>
      </c>
      <c r="N111" s="20"/>
      <c r="O111" s="20">
        <v>0</v>
      </c>
      <c r="P111" s="20">
        <v>0</v>
      </c>
      <c r="Q111" s="20">
        <v>0</v>
      </c>
      <c r="R111" s="20">
        <v>0</v>
      </c>
      <c r="S111" s="20"/>
      <c r="T111" s="20">
        <v>0</v>
      </c>
      <c r="U111" s="20">
        <v>0</v>
      </c>
      <c r="V111" s="20">
        <v>1643324.2</v>
      </c>
      <c r="W111" s="20">
        <v>0</v>
      </c>
      <c r="X111" s="29"/>
    </row>
    <row r="112" spans="1:24" ht="15">
      <c r="A112" s="22">
        <f t="shared" si="15"/>
        <v>96</v>
      </c>
      <c r="B112" s="19" t="s">
        <v>546</v>
      </c>
      <c r="C112" s="76" t="s">
        <v>710</v>
      </c>
      <c r="D112" s="20">
        <f>SUM(O112:R112)</f>
        <v>0</v>
      </c>
      <c r="E112" s="20">
        <f>SUM(T112:W112)</f>
        <v>-640495.1</v>
      </c>
      <c r="F112" s="20"/>
      <c r="G112" s="20"/>
      <c r="H112" s="20">
        <f>ROUND(SUM(D112:G112)/2,0)</f>
        <v>-320248</v>
      </c>
      <c r="I112" s="20"/>
      <c r="J112" s="20">
        <f t="shared" si="16"/>
        <v>0</v>
      </c>
      <c r="K112" s="20">
        <f t="shared" si="16"/>
        <v>0</v>
      </c>
      <c r="L112" s="20">
        <f t="shared" si="16"/>
        <v>-320247.55</v>
      </c>
      <c r="M112" s="20">
        <f t="shared" si="16"/>
        <v>0</v>
      </c>
      <c r="N112" s="20"/>
      <c r="O112" s="20">
        <v>0</v>
      </c>
      <c r="P112" s="20">
        <v>0</v>
      </c>
      <c r="Q112" s="20">
        <v>0</v>
      </c>
      <c r="R112" s="20">
        <v>0</v>
      </c>
      <c r="S112" s="20"/>
      <c r="T112" s="20">
        <v>0</v>
      </c>
      <c r="U112" s="20">
        <v>0</v>
      </c>
      <c r="V112" s="20">
        <v>-640495.1</v>
      </c>
      <c r="W112" s="20">
        <v>0</v>
      </c>
      <c r="X112" s="29"/>
    </row>
    <row r="113" spans="1:24" ht="15">
      <c r="A113" s="22">
        <f t="shared" si="15"/>
        <v>97</v>
      </c>
      <c r="B113" s="19" t="s">
        <v>546</v>
      </c>
      <c r="C113" s="76" t="s">
        <v>711</v>
      </c>
      <c r="D113" s="20">
        <f>SUM(O113:R113)</f>
        <v>0</v>
      </c>
      <c r="E113" s="20">
        <f>SUM(T113:W113)</f>
        <v>-2121597.1</v>
      </c>
      <c r="F113" s="20"/>
      <c r="G113" s="20"/>
      <c r="H113" s="20">
        <f>ROUND(SUM(D113:G113)/2,0)</f>
        <v>-1060799</v>
      </c>
      <c r="I113" s="20"/>
      <c r="J113" s="20">
        <f t="shared" si="16"/>
        <v>0</v>
      </c>
      <c r="K113" s="20">
        <f t="shared" si="16"/>
        <v>0</v>
      </c>
      <c r="L113" s="20">
        <f t="shared" si="16"/>
        <v>-1060798.55</v>
      </c>
      <c r="M113" s="20">
        <f t="shared" si="16"/>
        <v>0</v>
      </c>
      <c r="N113" s="20"/>
      <c r="O113" s="20">
        <v>0</v>
      </c>
      <c r="P113" s="20">
        <v>0</v>
      </c>
      <c r="Q113" s="20">
        <v>0</v>
      </c>
      <c r="R113" s="20">
        <v>0</v>
      </c>
      <c r="S113" s="20"/>
      <c r="T113" s="20">
        <v>0</v>
      </c>
      <c r="U113" s="20">
        <v>0</v>
      </c>
      <c r="V113" s="20">
        <v>-2121597.1</v>
      </c>
      <c r="W113" s="20">
        <v>0</v>
      </c>
      <c r="X113" s="29"/>
    </row>
    <row r="114" spans="1:24" ht="15">
      <c r="A114" s="22">
        <f t="shared" si="15"/>
        <v>98</v>
      </c>
      <c r="B114" s="19" t="s">
        <v>546</v>
      </c>
      <c r="C114" s="76" t="s">
        <v>549</v>
      </c>
      <c r="D114" s="20">
        <f t="shared" si="12"/>
        <v>905696.55</v>
      </c>
      <c r="E114" s="20">
        <f t="shared" si="13"/>
        <v>988666.2</v>
      </c>
      <c r="F114" s="20"/>
      <c r="G114" s="20"/>
      <c r="H114" s="20">
        <f t="shared" si="10"/>
        <v>947181</v>
      </c>
      <c r="I114" s="20"/>
      <c r="J114" s="20">
        <f t="shared" si="16"/>
        <v>0</v>
      </c>
      <c r="K114" s="20">
        <f t="shared" si="16"/>
        <v>0</v>
      </c>
      <c r="L114" s="20">
        <f t="shared" si="16"/>
        <v>947181.375</v>
      </c>
      <c r="M114" s="20">
        <f t="shared" si="16"/>
        <v>0</v>
      </c>
      <c r="N114" s="20"/>
      <c r="O114" s="20">
        <v>0</v>
      </c>
      <c r="P114" s="20">
        <v>0</v>
      </c>
      <c r="Q114" s="20">
        <v>905696.55</v>
      </c>
      <c r="R114" s="20">
        <v>0</v>
      </c>
      <c r="S114" s="20"/>
      <c r="T114" s="20">
        <v>0</v>
      </c>
      <c r="U114" s="20">
        <v>0</v>
      </c>
      <c r="V114" s="20">
        <v>988666.2</v>
      </c>
      <c r="W114" s="20">
        <v>0</v>
      </c>
      <c r="X114" s="29"/>
    </row>
    <row r="115" spans="1:24" ht="15">
      <c r="A115" s="22">
        <f t="shared" si="15"/>
        <v>99</v>
      </c>
      <c r="B115" s="19" t="s">
        <v>546</v>
      </c>
      <c r="C115" s="76" t="s">
        <v>550</v>
      </c>
      <c r="D115" s="20">
        <f t="shared" si="12"/>
        <v>1015089.03</v>
      </c>
      <c r="E115" s="20">
        <f t="shared" si="13"/>
        <v>-711732.7</v>
      </c>
      <c r="F115" s="20"/>
      <c r="G115" s="20"/>
      <c r="H115" s="20">
        <f t="shared" si="10"/>
        <v>151678</v>
      </c>
      <c r="I115" s="20"/>
      <c r="J115" s="20">
        <f t="shared" si="16"/>
        <v>0</v>
      </c>
      <c r="K115" s="20">
        <f t="shared" si="16"/>
        <v>0</v>
      </c>
      <c r="L115" s="20">
        <f t="shared" si="16"/>
        <v>151678.16500000004</v>
      </c>
      <c r="M115" s="20">
        <f t="shared" si="16"/>
        <v>0</v>
      </c>
      <c r="N115" s="20"/>
      <c r="O115" s="20">
        <v>0</v>
      </c>
      <c r="P115" s="20">
        <v>0</v>
      </c>
      <c r="Q115" s="20">
        <v>1015089.03</v>
      </c>
      <c r="R115" s="20">
        <v>0</v>
      </c>
      <c r="S115" s="20"/>
      <c r="T115" s="20">
        <v>0</v>
      </c>
      <c r="U115" s="20">
        <v>0</v>
      </c>
      <c r="V115" s="20">
        <v>-711732.7</v>
      </c>
      <c r="W115" s="20">
        <v>0</v>
      </c>
      <c r="X115" s="29"/>
    </row>
    <row r="116" spans="1:24" ht="15">
      <c r="A116" s="22">
        <f t="shared" si="15"/>
        <v>100</v>
      </c>
      <c r="B116" s="19" t="s">
        <v>546</v>
      </c>
      <c r="C116" s="76" t="s">
        <v>551</v>
      </c>
      <c r="D116" s="20">
        <f t="shared" si="12"/>
        <v>4200000</v>
      </c>
      <c r="E116" s="20">
        <f t="shared" si="13"/>
        <v>4200000</v>
      </c>
      <c r="F116" s="20"/>
      <c r="G116" s="20"/>
      <c r="H116" s="20">
        <f t="shared" si="10"/>
        <v>4200000</v>
      </c>
      <c r="I116" s="20"/>
      <c r="J116" s="20">
        <f t="shared" si="16"/>
        <v>0</v>
      </c>
      <c r="K116" s="20">
        <f t="shared" si="16"/>
        <v>0</v>
      </c>
      <c r="L116" s="20">
        <f t="shared" si="16"/>
        <v>4200000</v>
      </c>
      <c r="M116" s="20">
        <f t="shared" si="16"/>
        <v>0</v>
      </c>
      <c r="N116" s="20"/>
      <c r="O116" s="20">
        <v>0</v>
      </c>
      <c r="P116" s="20">
        <v>0</v>
      </c>
      <c r="Q116" s="20">
        <v>4200000</v>
      </c>
      <c r="R116" s="20">
        <v>0</v>
      </c>
      <c r="S116" s="20"/>
      <c r="T116" s="20">
        <v>0</v>
      </c>
      <c r="U116" s="20">
        <v>0</v>
      </c>
      <c r="V116" s="20">
        <v>4200000</v>
      </c>
      <c r="W116" s="20">
        <v>0</v>
      </c>
      <c r="X116" s="29"/>
    </row>
    <row r="117" spans="1:24" ht="15">
      <c r="A117" s="22">
        <f t="shared" si="15"/>
        <v>101</v>
      </c>
      <c r="B117" s="19" t="s">
        <v>546</v>
      </c>
      <c r="C117" s="76" t="s">
        <v>552</v>
      </c>
      <c r="D117" s="20">
        <f t="shared" si="12"/>
        <v>424473</v>
      </c>
      <c r="E117" s="20">
        <f t="shared" si="13"/>
        <v>648753</v>
      </c>
      <c r="F117" s="20"/>
      <c r="G117" s="20"/>
      <c r="H117" s="20">
        <f t="shared" si="10"/>
        <v>536613</v>
      </c>
      <c r="I117" s="20"/>
      <c r="J117" s="20">
        <f t="shared" si="16"/>
        <v>0</v>
      </c>
      <c r="K117" s="20">
        <f t="shared" si="16"/>
        <v>0</v>
      </c>
      <c r="L117" s="20">
        <f t="shared" si="16"/>
        <v>536613</v>
      </c>
      <c r="M117" s="20">
        <f t="shared" si="16"/>
        <v>0</v>
      </c>
      <c r="N117" s="20"/>
      <c r="O117" s="20">
        <v>0</v>
      </c>
      <c r="P117" s="20">
        <v>0</v>
      </c>
      <c r="Q117" s="20">
        <v>424473</v>
      </c>
      <c r="R117" s="20">
        <v>0</v>
      </c>
      <c r="S117" s="20"/>
      <c r="T117" s="20">
        <v>0</v>
      </c>
      <c r="U117" s="20">
        <v>0</v>
      </c>
      <c r="V117" s="20">
        <v>648753</v>
      </c>
      <c r="W117" s="20">
        <v>0</v>
      </c>
      <c r="X117" s="29"/>
    </row>
    <row r="118" spans="1:24" ht="15">
      <c r="A118" s="22">
        <f t="shared" si="15"/>
        <v>102</v>
      </c>
      <c r="B118" s="19" t="s">
        <v>546</v>
      </c>
      <c r="C118" s="76" t="s">
        <v>553</v>
      </c>
      <c r="D118" s="20">
        <f t="shared" si="12"/>
        <v>-47172367.75</v>
      </c>
      <c r="E118" s="20">
        <f t="shared" si="13"/>
        <v>0</v>
      </c>
      <c r="F118" s="20"/>
      <c r="G118" s="20"/>
      <c r="H118" s="20">
        <f t="shared" si="10"/>
        <v>-23586184</v>
      </c>
      <c r="I118" s="20"/>
      <c r="J118" s="20">
        <f aca="true" t="shared" si="17" ref="J118:M133">(+O118+T118)/2</f>
        <v>0</v>
      </c>
      <c r="K118" s="20">
        <f t="shared" si="17"/>
        <v>0</v>
      </c>
      <c r="L118" s="20">
        <f t="shared" si="17"/>
        <v>-23586183.875</v>
      </c>
      <c r="M118" s="20">
        <f t="shared" si="17"/>
        <v>0</v>
      </c>
      <c r="N118" s="20"/>
      <c r="O118" s="20">
        <v>0</v>
      </c>
      <c r="P118" s="20">
        <v>0</v>
      </c>
      <c r="Q118" s="20">
        <v>-47172367.75</v>
      </c>
      <c r="R118" s="20">
        <v>0</v>
      </c>
      <c r="S118" s="20"/>
      <c r="T118" s="20">
        <v>0</v>
      </c>
      <c r="U118" s="20">
        <v>0</v>
      </c>
      <c r="V118" s="20">
        <v>0</v>
      </c>
      <c r="W118" s="20">
        <v>0</v>
      </c>
      <c r="X118" s="29"/>
    </row>
    <row r="119" spans="1:24" ht="15">
      <c r="A119" s="22">
        <f t="shared" si="15"/>
        <v>103</v>
      </c>
      <c r="B119" s="19" t="s">
        <v>546</v>
      </c>
      <c r="C119" s="76" t="s">
        <v>554</v>
      </c>
      <c r="D119" s="20">
        <f t="shared" si="12"/>
        <v>73841922.4</v>
      </c>
      <c r="E119" s="20">
        <f t="shared" si="13"/>
        <v>0</v>
      </c>
      <c r="F119" s="20"/>
      <c r="G119" s="20"/>
      <c r="H119" s="20">
        <f t="shared" si="10"/>
        <v>36920961</v>
      </c>
      <c r="I119" s="20"/>
      <c r="J119" s="20">
        <f t="shared" si="17"/>
        <v>0</v>
      </c>
      <c r="K119" s="20">
        <f t="shared" si="17"/>
        <v>0</v>
      </c>
      <c r="L119" s="20">
        <f t="shared" si="17"/>
        <v>36920961.2</v>
      </c>
      <c r="M119" s="20">
        <f t="shared" si="17"/>
        <v>0</v>
      </c>
      <c r="N119" s="20"/>
      <c r="O119" s="20">
        <v>0</v>
      </c>
      <c r="P119" s="20">
        <v>0</v>
      </c>
      <c r="Q119" s="20">
        <v>73841922.4</v>
      </c>
      <c r="R119" s="20">
        <v>0</v>
      </c>
      <c r="S119" s="20"/>
      <c r="T119" s="20">
        <v>0</v>
      </c>
      <c r="U119" s="20">
        <v>0</v>
      </c>
      <c r="V119" s="20">
        <v>0</v>
      </c>
      <c r="W119" s="20">
        <v>0</v>
      </c>
      <c r="X119" s="29"/>
    </row>
    <row r="120" spans="1:24" ht="15">
      <c r="A120" s="22">
        <f t="shared" si="15"/>
        <v>104</v>
      </c>
      <c r="B120" s="19" t="s">
        <v>546</v>
      </c>
      <c r="C120" s="76" t="s">
        <v>555</v>
      </c>
      <c r="D120" s="20">
        <f t="shared" si="12"/>
        <v>26544163.82</v>
      </c>
      <c r="E120" s="20">
        <f t="shared" si="13"/>
        <v>0</v>
      </c>
      <c r="F120" s="20"/>
      <c r="G120" s="20"/>
      <c r="H120" s="20">
        <f t="shared" si="10"/>
        <v>13272082</v>
      </c>
      <c r="I120" s="20"/>
      <c r="J120" s="20">
        <f t="shared" si="17"/>
        <v>0</v>
      </c>
      <c r="K120" s="20">
        <f t="shared" si="17"/>
        <v>0</v>
      </c>
      <c r="L120" s="20">
        <f t="shared" si="17"/>
        <v>13272081.91</v>
      </c>
      <c r="M120" s="20">
        <f t="shared" si="17"/>
        <v>0</v>
      </c>
      <c r="N120" s="20"/>
      <c r="O120" s="20">
        <v>0</v>
      </c>
      <c r="P120" s="20">
        <v>0</v>
      </c>
      <c r="Q120" s="20">
        <v>26544163.82</v>
      </c>
      <c r="R120" s="20">
        <v>0</v>
      </c>
      <c r="S120" s="20"/>
      <c r="T120" s="20">
        <v>0</v>
      </c>
      <c r="U120" s="20">
        <v>0</v>
      </c>
      <c r="V120" s="20">
        <v>0</v>
      </c>
      <c r="W120" s="20">
        <v>0</v>
      </c>
      <c r="X120" s="29"/>
    </row>
    <row r="121" spans="1:24" ht="15">
      <c r="A121" s="22">
        <f t="shared" si="15"/>
        <v>105</v>
      </c>
      <c r="B121" s="19" t="s">
        <v>546</v>
      </c>
      <c r="C121" s="76" t="s">
        <v>556</v>
      </c>
      <c r="D121" s="20">
        <f t="shared" si="12"/>
        <v>841707.34</v>
      </c>
      <c r="E121" s="20">
        <f t="shared" si="13"/>
        <v>493414.65</v>
      </c>
      <c r="F121" s="20"/>
      <c r="G121" s="20"/>
      <c r="H121" s="20">
        <f t="shared" si="10"/>
        <v>667561</v>
      </c>
      <c r="I121" s="20"/>
      <c r="J121" s="20">
        <f t="shared" si="17"/>
        <v>0</v>
      </c>
      <c r="K121" s="20">
        <f t="shared" si="17"/>
        <v>0</v>
      </c>
      <c r="L121" s="20">
        <f t="shared" si="17"/>
        <v>667560.995</v>
      </c>
      <c r="M121" s="20">
        <f t="shared" si="17"/>
        <v>0</v>
      </c>
      <c r="N121" s="20"/>
      <c r="O121" s="20">
        <v>0</v>
      </c>
      <c r="P121" s="20">
        <v>0</v>
      </c>
      <c r="Q121" s="20">
        <v>841707.34</v>
      </c>
      <c r="R121" s="20">
        <v>0</v>
      </c>
      <c r="S121" s="20"/>
      <c r="T121" s="20">
        <v>0</v>
      </c>
      <c r="U121" s="20">
        <v>0</v>
      </c>
      <c r="V121" s="20">
        <v>493414.65</v>
      </c>
      <c r="W121" s="20">
        <v>0</v>
      </c>
      <c r="X121" s="29"/>
    </row>
    <row r="122" spans="1:24" ht="15">
      <c r="A122" s="22">
        <f t="shared" si="15"/>
        <v>106</v>
      </c>
      <c r="B122" s="19" t="s">
        <v>546</v>
      </c>
      <c r="C122" s="76" t="s">
        <v>557</v>
      </c>
      <c r="D122" s="20">
        <f t="shared" si="12"/>
        <v>22845761.86</v>
      </c>
      <c r="E122" s="20">
        <f t="shared" si="13"/>
        <v>97880042</v>
      </c>
      <c r="F122" s="20"/>
      <c r="G122" s="20"/>
      <c r="H122" s="20">
        <f t="shared" si="10"/>
        <v>60362902</v>
      </c>
      <c r="I122" s="20"/>
      <c r="J122" s="20">
        <f t="shared" si="17"/>
        <v>11422880.93</v>
      </c>
      <c r="K122" s="20">
        <f t="shared" si="17"/>
        <v>0</v>
      </c>
      <c r="L122" s="20">
        <f t="shared" si="17"/>
        <v>48940021</v>
      </c>
      <c r="M122" s="20">
        <f t="shared" si="17"/>
        <v>0</v>
      </c>
      <c r="N122" s="20"/>
      <c r="O122" s="20">
        <v>22845761.86</v>
      </c>
      <c r="P122" s="20">
        <v>0</v>
      </c>
      <c r="Q122" s="20">
        <v>0</v>
      </c>
      <c r="R122" s="20">
        <v>0</v>
      </c>
      <c r="S122" s="20"/>
      <c r="T122" s="20">
        <v>0</v>
      </c>
      <c r="U122" s="20">
        <v>0</v>
      </c>
      <c r="V122" s="20">
        <v>97880042</v>
      </c>
      <c r="W122" s="20">
        <v>0</v>
      </c>
      <c r="X122" s="29"/>
    </row>
    <row r="123" spans="1:24" ht="15">
      <c r="A123" s="22">
        <f t="shared" si="15"/>
        <v>107</v>
      </c>
      <c r="B123" s="19" t="s">
        <v>546</v>
      </c>
      <c r="C123" s="76" t="s">
        <v>558</v>
      </c>
      <c r="D123" s="20">
        <f t="shared" si="12"/>
        <v>190526.15</v>
      </c>
      <c r="E123" s="20">
        <f t="shared" si="13"/>
        <v>2941096</v>
      </c>
      <c r="F123" s="20"/>
      <c r="G123" s="20"/>
      <c r="H123" s="20">
        <f t="shared" si="10"/>
        <v>1565811</v>
      </c>
      <c r="I123" s="20"/>
      <c r="J123" s="20">
        <f t="shared" si="17"/>
        <v>95263.075</v>
      </c>
      <c r="K123" s="20">
        <f t="shared" si="17"/>
        <v>0</v>
      </c>
      <c r="L123" s="20">
        <f t="shared" si="17"/>
        <v>1470548</v>
      </c>
      <c r="M123" s="20">
        <f t="shared" si="17"/>
        <v>0</v>
      </c>
      <c r="N123" s="20"/>
      <c r="O123" s="20">
        <v>190526.15</v>
      </c>
      <c r="P123" s="20">
        <v>0</v>
      </c>
      <c r="Q123" s="20">
        <v>0</v>
      </c>
      <c r="R123" s="20">
        <v>0</v>
      </c>
      <c r="S123" s="20"/>
      <c r="T123" s="20">
        <v>0</v>
      </c>
      <c r="U123" s="20">
        <v>0</v>
      </c>
      <c r="V123" s="20">
        <v>2941096</v>
      </c>
      <c r="W123" s="20">
        <v>0</v>
      </c>
      <c r="X123" s="29"/>
    </row>
    <row r="124" spans="1:24" ht="15">
      <c r="A124" s="22">
        <f t="shared" si="15"/>
        <v>108</v>
      </c>
      <c r="B124" s="19" t="s">
        <v>546</v>
      </c>
      <c r="C124" s="76" t="s">
        <v>559</v>
      </c>
      <c r="D124" s="20">
        <f t="shared" si="12"/>
        <v>624039.01</v>
      </c>
      <c r="E124" s="20">
        <f t="shared" si="13"/>
        <v>4152107.88</v>
      </c>
      <c r="F124" s="20"/>
      <c r="G124" s="20"/>
      <c r="H124" s="20">
        <f t="shared" si="10"/>
        <v>2388073</v>
      </c>
      <c r="I124" s="20"/>
      <c r="J124" s="20">
        <f t="shared" si="17"/>
        <v>0</v>
      </c>
      <c r="K124" s="20">
        <f t="shared" si="17"/>
        <v>0</v>
      </c>
      <c r="L124" s="20">
        <f t="shared" si="17"/>
        <v>2388073.445</v>
      </c>
      <c r="M124" s="20">
        <f t="shared" si="17"/>
        <v>0</v>
      </c>
      <c r="N124" s="20"/>
      <c r="O124" s="20">
        <v>0</v>
      </c>
      <c r="P124" s="20">
        <v>0</v>
      </c>
      <c r="Q124" s="20">
        <v>624039.01</v>
      </c>
      <c r="R124" s="20">
        <v>0</v>
      </c>
      <c r="S124" s="20"/>
      <c r="T124" s="20">
        <v>0</v>
      </c>
      <c r="U124" s="20">
        <v>0</v>
      </c>
      <c r="V124" s="20">
        <v>4152107.88</v>
      </c>
      <c r="W124" s="20">
        <v>0</v>
      </c>
      <c r="X124" s="29"/>
    </row>
    <row r="125" spans="1:24" ht="15">
      <c r="A125" s="22">
        <f t="shared" si="15"/>
        <v>109</v>
      </c>
      <c r="B125" s="19" t="s">
        <v>546</v>
      </c>
      <c r="C125" s="76" t="s">
        <v>560</v>
      </c>
      <c r="D125" s="20">
        <f t="shared" si="12"/>
        <v>5669410.11</v>
      </c>
      <c r="E125" s="20">
        <f t="shared" si="13"/>
        <v>7367355.82</v>
      </c>
      <c r="F125" s="20"/>
      <c r="G125" s="20"/>
      <c r="H125" s="20">
        <f t="shared" si="10"/>
        <v>6518383</v>
      </c>
      <c r="I125" s="20"/>
      <c r="J125" s="20">
        <f t="shared" si="17"/>
        <v>0</v>
      </c>
      <c r="K125" s="20">
        <f t="shared" si="17"/>
        <v>0</v>
      </c>
      <c r="L125" s="20">
        <f t="shared" si="17"/>
        <v>6518382.965</v>
      </c>
      <c r="M125" s="20">
        <f t="shared" si="17"/>
        <v>0</v>
      </c>
      <c r="N125" s="20"/>
      <c r="O125" s="20">
        <v>0</v>
      </c>
      <c r="P125" s="20">
        <v>0</v>
      </c>
      <c r="Q125" s="20">
        <v>5669410.11</v>
      </c>
      <c r="R125" s="20">
        <v>0</v>
      </c>
      <c r="S125" s="20"/>
      <c r="T125" s="20">
        <v>0</v>
      </c>
      <c r="U125" s="20">
        <v>0</v>
      </c>
      <c r="V125" s="20">
        <v>7367355.82</v>
      </c>
      <c r="W125" s="20">
        <v>0</v>
      </c>
      <c r="X125" s="29"/>
    </row>
    <row r="126" spans="1:24" ht="15">
      <c r="A126" s="22">
        <f t="shared" si="15"/>
        <v>110</v>
      </c>
      <c r="B126" s="19" t="s">
        <v>546</v>
      </c>
      <c r="C126" s="76" t="s">
        <v>561</v>
      </c>
      <c r="D126" s="20">
        <f t="shared" si="12"/>
        <v>-167616.88</v>
      </c>
      <c r="E126" s="20">
        <f t="shared" si="13"/>
        <v>-1115256.17</v>
      </c>
      <c r="F126" s="20"/>
      <c r="G126" s="20"/>
      <c r="H126" s="20">
        <f t="shared" si="10"/>
        <v>-641437</v>
      </c>
      <c r="I126" s="20"/>
      <c r="J126" s="20">
        <f t="shared" si="17"/>
        <v>0</v>
      </c>
      <c r="K126" s="20">
        <f t="shared" si="17"/>
        <v>0</v>
      </c>
      <c r="L126" s="20">
        <f t="shared" si="17"/>
        <v>-641436.5249999999</v>
      </c>
      <c r="M126" s="20">
        <f t="shared" si="17"/>
        <v>0</v>
      </c>
      <c r="N126" s="20"/>
      <c r="O126" s="20">
        <v>0</v>
      </c>
      <c r="P126" s="20">
        <v>0</v>
      </c>
      <c r="Q126" s="20">
        <v>-167616.88</v>
      </c>
      <c r="R126" s="20">
        <v>0</v>
      </c>
      <c r="S126" s="20"/>
      <c r="T126" s="20">
        <v>0</v>
      </c>
      <c r="U126" s="20">
        <v>0</v>
      </c>
      <c r="V126" s="20">
        <v>-1115256.17</v>
      </c>
      <c r="W126" s="20">
        <v>0</v>
      </c>
      <c r="X126" s="29"/>
    </row>
    <row r="127" spans="1:24" ht="15">
      <c r="A127" s="22">
        <f t="shared" si="15"/>
        <v>111</v>
      </c>
      <c r="B127" s="19" t="s">
        <v>546</v>
      </c>
      <c r="C127" s="76" t="s">
        <v>562</v>
      </c>
      <c r="D127" s="20">
        <f t="shared" si="12"/>
        <v>1908669.85</v>
      </c>
      <c r="E127" s="20">
        <f t="shared" si="13"/>
        <v>12470686.41</v>
      </c>
      <c r="F127" s="20"/>
      <c r="G127" s="20"/>
      <c r="H127" s="20">
        <f t="shared" si="10"/>
        <v>7189678</v>
      </c>
      <c r="I127" s="20"/>
      <c r="J127" s="20">
        <f t="shared" si="17"/>
        <v>0</v>
      </c>
      <c r="K127" s="20">
        <f t="shared" si="17"/>
        <v>0</v>
      </c>
      <c r="L127" s="20">
        <f t="shared" si="17"/>
        <v>7189678.13</v>
      </c>
      <c r="M127" s="20">
        <f t="shared" si="17"/>
        <v>0</v>
      </c>
      <c r="N127" s="20"/>
      <c r="O127" s="20">
        <v>0</v>
      </c>
      <c r="P127" s="20">
        <v>0</v>
      </c>
      <c r="Q127" s="20">
        <v>1908669.85</v>
      </c>
      <c r="R127" s="20">
        <v>0</v>
      </c>
      <c r="S127" s="20"/>
      <c r="T127" s="20">
        <v>0</v>
      </c>
      <c r="U127" s="20">
        <v>0</v>
      </c>
      <c r="V127" s="20">
        <v>12470686.41</v>
      </c>
      <c r="W127" s="20">
        <v>0</v>
      </c>
      <c r="X127" s="29"/>
    </row>
    <row r="128" spans="1:24" ht="15">
      <c r="A128" s="22">
        <f t="shared" si="15"/>
        <v>112</v>
      </c>
      <c r="B128" s="19" t="s">
        <v>546</v>
      </c>
      <c r="C128" s="76" t="s">
        <v>712</v>
      </c>
      <c r="D128" s="20">
        <f t="shared" si="12"/>
        <v>0</v>
      </c>
      <c r="E128" s="20">
        <f t="shared" si="13"/>
        <v>136356</v>
      </c>
      <c r="F128" s="20"/>
      <c r="G128" s="20"/>
      <c r="H128" s="20">
        <f t="shared" si="10"/>
        <v>68178</v>
      </c>
      <c r="I128" s="20"/>
      <c r="J128" s="20">
        <f t="shared" si="17"/>
        <v>0</v>
      </c>
      <c r="K128" s="20">
        <f t="shared" si="17"/>
        <v>0</v>
      </c>
      <c r="L128" s="20">
        <f t="shared" si="17"/>
        <v>68178</v>
      </c>
      <c r="M128" s="20">
        <f t="shared" si="17"/>
        <v>0</v>
      </c>
      <c r="N128" s="20"/>
      <c r="O128" s="20">
        <v>0</v>
      </c>
      <c r="P128" s="20">
        <v>0</v>
      </c>
      <c r="Q128" s="20">
        <v>0</v>
      </c>
      <c r="R128" s="20">
        <v>0</v>
      </c>
      <c r="S128" s="20"/>
      <c r="T128" s="20">
        <v>0</v>
      </c>
      <c r="U128" s="20">
        <v>0</v>
      </c>
      <c r="V128" s="20">
        <v>136356</v>
      </c>
      <c r="W128" s="20">
        <v>0</v>
      </c>
      <c r="X128" s="29"/>
    </row>
    <row r="129" spans="1:24" ht="15">
      <c r="A129" s="22">
        <f t="shared" si="15"/>
        <v>113</v>
      </c>
      <c r="B129" s="19" t="s">
        <v>546</v>
      </c>
      <c r="C129" s="76" t="s">
        <v>713</v>
      </c>
      <c r="D129" s="20">
        <f t="shared" si="12"/>
        <v>0</v>
      </c>
      <c r="E129" s="20">
        <f t="shared" si="13"/>
        <v>140387.72</v>
      </c>
      <c r="F129" s="20"/>
      <c r="G129" s="20"/>
      <c r="H129" s="20">
        <f t="shared" si="10"/>
        <v>70194</v>
      </c>
      <c r="I129" s="20"/>
      <c r="J129" s="20">
        <f t="shared" si="17"/>
        <v>0</v>
      </c>
      <c r="K129" s="20">
        <f t="shared" si="17"/>
        <v>0</v>
      </c>
      <c r="L129" s="20">
        <f t="shared" si="17"/>
        <v>70193.86</v>
      </c>
      <c r="M129" s="20">
        <f t="shared" si="17"/>
        <v>0</v>
      </c>
      <c r="N129" s="20"/>
      <c r="O129" s="20">
        <v>0</v>
      </c>
      <c r="P129" s="20">
        <v>0</v>
      </c>
      <c r="Q129" s="20">
        <v>0</v>
      </c>
      <c r="R129" s="20">
        <v>0</v>
      </c>
      <c r="S129" s="20"/>
      <c r="T129" s="20">
        <v>0</v>
      </c>
      <c r="U129" s="20">
        <v>0</v>
      </c>
      <c r="V129" s="20">
        <v>140387.72</v>
      </c>
      <c r="W129" s="20">
        <v>0</v>
      </c>
      <c r="X129" s="29"/>
    </row>
    <row r="130" spans="1:24" ht="15">
      <c r="A130" s="22">
        <f t="shared" si="15"/>
        <v>114</v>
      </c>
      <c r="B130" s="19" t="s">
        <v>546</v>
      </c>
      <c r="C130" s="76" t="s">
        <v>714</v>
      </c>
      <c r="D130" s="20">
        <f t="shared" si="12"/>
        <v>0</v>
      </c>
      <c r="E130" s="20">
        <f t="shared" si="13"/>
        <v>3321259.59</v>
      </c>
      <c r="F130" s="20"/>
      <c r="G130" s="20"/>
      <c r="H130" s="20">
        <f t="shared" si="10"/>
        <v>1660630</v>
      </c>
      <c r="I130" s="20"/>
      <c r="J130" s="20">
        <f t="shared" si="17"/>
        <v>0</v>
      </c>
      <c r="K130" s="20">
        <f t="shared" si="17"/>
        <v>0</v>
      </c>
      <c r="L130" s="20">
        <f t="shared" si="17"/>
        <v>1660629.795</v>
      </c>
      <c r="M130" s="20">
        <f t="shared" si="17"/>
        <v>0</v>
      </c>
      <c r="N130" s="20"/>
      <c r="O130" s="20">
        <v>0</v>
      </c>
      <c r="P130" s="20">
        <v>0</v>
      </c>
      <c r="Q130" s="20">
        <v>0</v>
      </c>
      <c r="R130" s="20">
        <v>0</v>
      </c>
      <c r="S130" s="20"/>
      <c r="T130" s="20">
        <v>0</v>
      </c>
      <c r="U130" s="20">
        <v>0</v>
      </c>
      <c r="V130" s="20">
        <v>3321259.59</v>
      </c>
      <c r="W130" s="20">
        <v>0</v>
      </c>
      <c r="X130" s="29"/>
    </row>
    <row r="131" spans="1:24" ht="15">
      <c r="A131" s="22">
        <f t="shared" si="15"/>
        <v>115</v>
      </c>
      <c r="B131" s="19" t="s">
        <v>546</v>
      </c>
      <c r="C131" s="76" t="s">
        <v>712</v>
      </c>
      <c r="D131" s="20">
        <f t="shared" si="12"/>
        <v>0</v>
      </c>
      <c r="E131" s="20">
        <f t="shared" si="13"/>
        <v>0</v>
      </c>
      <c r="F131" s="20"/>
      <c r="G131" s="20"/>
      <c r="H131" s="20">
        <f>ROUND(SUM(D131:G131)/2,0)</f>
        <v>0</v>
      </c>
      <c r="I131" s="20"/>
      <c r="J131" s="20">
        <f t="shared" si="17"/>
        <v>0</v>
      </c>
      <c r="K131" s="20">
        <f t="shared" si="17"/>
        <v>0</v>
      </c>
      <c r="L131" s="20">
        <f t="shared" si="17"/>
        <v>0</v>
      </c>
      <c r="M131" s="20">
        <f t="shared" si="17"/>
        <v>0</v>
      </c>
      <c r="N131" s="20"/>
      <c r="O131" s="20">
        <v>0</v>
      </c>
      <c r="P131" s="20">
        <v>0</v>
      </c>
      <c r="Q131" s="20">
        <v>0</v>
      </c>
      <c r="R131" s="20">
        <v>0</v>
      </c>
      <c r="S131" s="20"/>
      <c r="T131" s="20">
        <v>0</v>
      </c>
      <c r="U131" s="20">
        <v>0</v>
      </c>
      <c r="V131" s="20">
        <v>0</v>
      </c>
      <c r="W131" s="20">
        <v>0</v>
      </c>
      <c r="X131" s="29"/>
    </row>
    <row r="132" spans="1:24" ht="15">
      <c r="A132" s="22">
        <f t="shared" si="15"/>
        <v>116</v>
      </c>
      <c r="B132" s="19" t="s">
        <v>546</v>
      </c>
      <c r="C132" s="53" t="s">
        <v>715</v>
      </c>
      <c r="D132" s="20">
        <f>SUM(O132:R132)</f>
        <v>0</v>
      </c>
      <c r="E132" s="20">
        <f>SUM(T132:W132)</f>
        <v>949377</v>
      </c>
      <c r="F132" s="20"/>
      <c r="G132" s="20"/>
      <c r="H132" s="20">
        <f>ROUND(SUM(D132:G132)/2,0)</f>
        <v>474689</v>
      </c>
      <c r="I132" s="20"/>
      <c r="J132" s="20">
        <f t="shared" si="17"/>
        <v>0</v>
      </c>
      <c r="K132" s="20">
        <f t="shared" si="17"/>
        <v>0</v>
      </c>
      <c r="L132" s="20">
        <f t="shared" si="17"/>
        <v>474688.5</v>
      </c>
      <c r="M132" s="20">
        <f t="shared" si="17"/>
        <v>0</v>
      </c>
      <c r="N132" s="20"/>
      <c r="O132" s="20">
        <v>0</v>
      </c>
      <c r="P132" s="20">
        <v>0</v>
      </c>
      <c r="Q132" s="20">
        <v>0</v>
      </c>
      <c r="R132" s="20">
        <v>0</v>
      </c>
      <c r="S132" s="20"/>
      <c r="T132" s="20">
        <v>0</v>
      </c>
      <c r="U132" s="20">
        <v>0</v>
      </c>
      <c r="V132" s="20">
        <v>949377</v>
      </c>
      <c r="W132" s="20">
        <v>0</v>
      </c>
      <c r="X132" s="29"/>
    </row>
    <row r="133" spans="1:24" ht="15">
      <c r="A133" s="22">
        <f t="shared" si="15"/>
        <v>117</v>
      </c>
      <c r="B133" s="19" t="s">
        <v>563</v>
      </c>
      <c r="C133" s="76" t="s">
        <v>124</v>
      </c>
      <c r="D133" s="20">
        <f t="shared" si="12"/>
        <v>10020862.35</v>
      </c>
      <c r="E133" s="20">
        <f t="shared" si="13"/>
        <v>3292295.75</v>
      </c>
      <c r="F133" s="20"/>
      <c r="G133" s="20"/>
      <c r="H133" s="20">
        <f>ROUND(SUM(D133:G133)/2,0)</f>
        <v>6656579</v>
      </c>
      <c r="I133" s="20"/>
      <c r="J133" s="20">
        <f t="shared" si="17"/>
        <v>3594829.82</v>
      </c>
      <c r="K133" s="20">
        <f t="shared" si="17"/>
        <v>512039.255</v>
      </c>
      <c r="L133" s="20">
        <f t="shared" si="17"/>
        <v>2549709.975</v>
      </c>
      <c r="M133" s="20">
        <f t="shared" si="17"/>
        <v>0</v>
      </c>
      <c r="N133" s="20"/>
      <c r="O133" s="20">
        <v>7189659.64</v>
      </c>
      <c r="P133" s="20">
        <v>465871.25</v>
      </c>
      <c r="Q133" s="20">
        <v>2365331.46</v>
      </c>
      <c r="R133" s="20">
        <v>0</v>
      </c>
      <c r="S133" s="20"/>
      <c r="T133" s="20">
        <v>0</v>
      </c>
      <c r="U133" s="20">
        <v>558207.26</v>
      </c>
      <c r="V133" s="20">
        <v>2734088.49</v>
      </c>
      <c r="W133" s="20">
        <v>0</v>
      </c>
      <c r="X133" s="29"/>
    </row>
    <row r="134" spans="1:24" ht="15">
      <c r="A134" s="22">
        <f t="shared" si="15"/>
        <v>118</v>
      </c>
      <c r="B134" s="19" t="s">
        <v>564</v>
      </c>
      <c r="C134" s="40" t="s">
        <v>312</v>
      </c>
      <c r="D134" s="20">
        <f aca="true" t="shared" si="18" ref="D134:D145">SUM(O134:R134)</f>
        <v>15528654.12</v>
      </c>
      <c r="E134" s="20">
        <f aca="true" t="shared" si="19" ref="E134:E145">SUM(T134:W134)</f>
        <v>15583520.850000001</v>
      </c>
      <c r="F134" s="20"/>
      <c r="G134" s="20"/>
      <c r="H134" s="20">
        <f aca="true" t="shared" si="20" ref="H134:H148">ROUND(SUM(D134:G134)/2,0)</f>
        <v>15556087</v>
      </c>
      <c r="I134" s="20"/>
      <c r="J134" s="20">
        <f aca="true" t="shared" si="21" ref="J134:M143">(+O134+T134)/2</f>
        <v>2716367.63</v>
      </c>
      <c r="K134" s="20">
        <f t="shared" si="21"/>
        <v>3706880.395</v>
      </c>
      <c r="L134" s="20">
        <f t="shared" si="21"/>
        <v>9132755.625</v>
      </c>
      <c r="M134" s="20">
        <f t="shared" si="21"/>
        <v>83.835</v>
      </c>
      <c r="N134" s="20"/>
      <c r="O134" s="20">
        <v>5432735.26</v>
      </c>
      <c r="P134" s="20">
        <v>1897273.41</v>
      </c>
      <c r="Q134" s="20">
        <v>8198477.78</v>
      </c>
      <c r="R134" s="20">
        <v>167.67</v>
      </c>
      <c r="S134" s="20"/>
      <c r="T134" s="20">
        <v>0</v>
      </c>
      <c r="U134" s="20">
        <v>5516487.38</v>
      </c>
      <c r="V134" s="20">
        <v>10067033.47</v>
      </c>
      <c r="W134" s="20">
        <v>0</v>
      </c>
      <c r="X134" s="29"/>
    </row>
    <row r="135" spans="1:24" ht="15">
      <c r="A135" s="22">
        <f t="shared" si="15"/>
        <v>119</v>
      </c>
      <c r="B135" s="19" t="s">
        <v>565</v>
      </c>
      <c r="C135" s="40" t="s">
        <v>126</v>
      </c>
      <c r="D135" s="20">
        <f t="shared" si="18"/>
        <v>4625418.23</v>
      </c>
      <c r="E135" s="20">
        <f t="shared" si="19"/>
        <v>4561592.7299999995</v>
      </c>
      <c r="F135" s="20"/>
      <c r="G135" s="20"/>
      <c r="H135" s="20">
        <f t="shared" si="20"/>
        <v>4593505</v>
      </c>
      <c r="I135" s="20"/>
      <c r="J135" s="20">
        <f t="shared" si="21"/>
        <v>0</v>
      </c>
      <c r="K135" s="20">
        <f t="shared" si="21"/>
        <v>616791.385</v>
      </c>
      <c r="L135" s="20">
        <f t="shared" si="21"/>
        <v>3976714.0949999997</v>
      </c>
      <c r="M135" s="20">
        <f t="shared" si="21"/>
        <v>0</v>
      </c>
      <c r="N135" s="20"/>
      <c r="O135" s="20">
        <v>0</v>
      </c>
      <c r="P135" s="20">
        <v>585419.3</v>
      </c>
      <c r="Q135" s="20">
        <v>4039998.93</v>
      </c>
      <c r="R135" s="20">
        <v>0</v>
      </c>
      <c r="S135" s="20"/>
      <c r="T135" s="20">
        <v>0</v>
      </c>
      <c r="U135" s="20">
        <v>648163.47</v>
      </c>
      <c r="V135" s="20">
        <v>3913429.26</v>
      </c>
      <c r="W135" s="20">
        <v>0</v>
      </c>
      <c r="X135" s="29"/>
    </row>
    <row r="136" spans="1:24" ht="15">
      <c r="A136" s="22">
        <f t="shared" si="15"/>
        <v>120</v>
      </c>
      <c r="B136" s="19"/>
      <c r="C136" s="40" t="s">
        <v>127</v>
      </c>
      <c r="D136" s="20">
        <f t="shared" si="18"/>
        <v>0</v>
      </c>
      <c r="E136" s="20">
        <f t="shared" si="19"/>
        <v>0</v>
      </c>
      <c r="F136" s="20"/>
      <c r="G136" s="20"/>
      <c r="H136" s="20">
        <f t="shared" si="20"/>
        <v>0</v>
      </c>
      <c r="I136" s="20"/>
      <c r="J136" s="20">
        <f t="shared" si="21"/>
        <v>0</v>
      </c>
      <c r="K136" s="20">
        <f t="shared" si="21"/>
        <v>0</v>
      </c>
      <c r="L136" s="20">
        <f t="shared" si="21"/>
        <v>0</v>
      </c>
      <c r="M136" s="20">
        <f t="shared" si="21"/>
        <v>0</v>
      </c>
      <c r="N136" s="20"/>
      <c r="O136" s="20">
        <v>0</v>
      </c>
      <c r="P136" s="20">
        <v>0</v>
      </c>
      <c r="Q136" s="20">
        <v>0</v>
      </c>
      <c r="R136" s="20">
        <v>0</v>
      </c>
      <c r="S136" s="20"/>
      <c r="T136" s="20">
        <v>0</v>
      </c>
      <c r="U136" s="20">
        <v>0</v>
      </c>
      <c r="V136" s="20">
        <v>0</v>
      </c>
      <c r="W136" s="20">
        <v>0</v>
      </c>
      <c r="X136" s="29"/>
    </row>
    <row r="137" spans="1:24" ht="15">
      <c r="A137" s="22">
        <f t="shared" si="15"/>
        <v>121</v>
      </c>
      <c r="B137" s="19" t="s">
        <v>566</v>
      </c>
      <c r="C137" s="76" t="s">
        <v>567</v>
      </c>
      <c r="D137" s="20">
        <f t="shared" si="18"/>
        <v>-12394294.520000001</v>
      </c>
      <c r="E137" s="20">
        <f t="shared" si="19"/>
        <v>-7737609.31</v>
      </c>
      <c r="F137" s="20"/>
      <c r="G137" s="20"/>
      <c r="H137" s="20">
        <f t="shared" si="20"/>
        <v>-10065952</v>
      </c>
      <c r="I137" s="20"/>
      <c r="J137" s="20">
        <f t="shared" si="21"/>
        <v>-3075816.1</v>
      </c>
      <c r="K137" s="20">
        <f t="shared" si="21"/>
        <v>-861481.69</v>
      </c>
      <c r="L137" s="20">
        <f t="shared" si="21"/>
        <v>-6096211.05</v>
      </c>
      <c r="M137" s="20">
        <f t="shared" si="21"/>
        <v>-32443.075</v>
      </c>
      <c r="N137" s="20"/>
      <c r="O137" s="20">
        <v>-6151632.2</v>
      </c>
      <c r="P137" s="20">
        <v>-774593.37</v>
      </c>
      <c r="Q137" s="20">
        <v>-5403182.8</v>
      </c>
      <c r="R137" s="20">
        <v>-64886.15</v>
      </c>
      <c r="S137" s="20"/>
      <c r="T137" s="20">
        <v>0</v>
      </c>
      <c r="U137" s="20">
        <v>-948370.01</v>
      </c>
      <c r="V137" s="20">
        <v>-6789239.3</v>
      </c>
      <c r="W137" s="20">
        <v>0</v>
      </c>
      <c r="X137" s="29"/>
    </row>
    <row r="138" spans="1:24" ht="15">
      <c r="A138" s="22">
        <f t="shared" si="15"/>
        <v>122</v>
      </c>
      <c r="B138" s="19" t="s">
        <v>568</v>
      </c>
      <c r="C138" s="40" t="s">
        <v>569</v>
      </c>
      <c r="D138" s="20">
        <f t="shared" si="18"/>
        <v>-0.05</v>
      </c>
      <c r="E138" s="20">
        <f t="shared" si="19"/>
        <v>0</v>
      </c>
      <c r="F138" s="20"/>
      <c r="G138" s="20"/>
      <c r="H138" s="20">
        <f t="shared" si="20"/>
        <v>0</v>
      </c>
      <c r="I138" s="20"/>
      <c r="J138" s="20">
        <f t="shared" si="21"/>
        <v>-0.025</v>
      </c>
      <c r="K138" s="20">
        <f t="shared" si="21"/>
        <v>0</v>
      </c>
      <c r="L138" s="20">
        <f t="shared" si="21"/>
        <v>0</v>
      </c>
      <c r="M138" s="20">
        <f t="shared" si="21"/>
        <v>0</v>
      </c>
      <c r="N138" s="20"/>
      <c r="O138" s="20">
        <v>-0.05</v>
      </c>
      <c r="P138" s="20">
        <v>0</v>
      </c>
      <c r="Q138" s="20">
        <v>0</v>
      </c>
      <c r="R138" s="20">
        <v>0</v>
      </c>
      <c r="S138" s="20"/>
      <c r="T138" s="20">
        <v>0</v>
      </c>
      <c r="U138" s="20">
        <v>0</v>
      </c>
      <c r="V138" s="20">
        <v>0</v>
      </c>
      <c r="W138" s="20">
        <v>0</v>
      </c>
      <c r="X138" s="29"/>
    </row>
    <row r="139" spans="1:24" ht="15">
      <c r="A139" s="22">
        <f t="shared" si="15"/>
        <v>123</v>
      </c>
      <c r="B139" s="19" t="s">
        <v>568</v>
      </c>
      <c r="C139" s="40" t="s">
        <v>570</v>
      </c>
      <c r="D139" s="20">
        <f t="shared" si="18"/>
        <v>1235.85</v>
      </c>
      <c r="E139" s="20">
        <f t="shared" si="19"/>
        <v>0</v>
      </c>
      <c r="F139" s="20"/>
      <c r="G139" s="20"/>
      <c r="H139" s="20">
        <f>ROUND(SUM(D139:G139)/2,0)</f>
        <v>618</v>
      </c>
      <c r="I139" s="20"/>
      <c r="J139" s="20">
        <f t="shared" si="21"/>
        <v>617.925</v>
      </c>
      <c r="K139" s="20">
        <f t="shared" si="21"/>
        <v>0</v>
      </c>
      <c r="L139" s="20">
        <f t="shared" si="21"/>
        <v>0</v>
      </c>
      <c r="M139" s="20">
        <f t="shared" si="21"/>
        <v>0</v>
      </c>
      <c r="N139" s="20"/>
      <c r="O139" s="20">
        <v>1235.85</v>
      </c>
      <c r="P139" s="20">
        <v>0</v>
      </c>
      <c r="Q139" s="20">
        <v>0</v>
      </c>
      <c r="R139" s="20">
        <v>0</v>
      </c>
      <c r="S139" s="20"/>
      <c r="T139" s="20">
        <v>0</v>
      </c>
      <c r="U139" s="20">
        <v>0</v>
      </c>
      <c r="V139" s="20">
        <v>0</v>
      </c>
      <c r="W139" s="20">
        <v>0</v>
      </c>
      <c r="X139" s="29"/>
    </row>
    <row r="140" spans="1:24" ht="15">
      <c r="A140" s="22">
        <f t="shared" si="15"/>
        <v>124</v>
      </c>
      <c r="B140" s="19" t="s">
        <v>568</v>
      </c>
      <c r="C140" s="40" t="s">
        <v>129</v>
      </c>
      <c r="D140" s="20">
        <f t="shared" si="18"/>
        <v>0</v>
      </c>
      <c r="E140" s="20">
        <f t="shared" si="19"/>
        <v>0</v>
      </c>
      <c r="F140" s="20"/>
      <c r="G140" s="20"/>
      <c r="H140" s="20">
        <f>ROUND(SUM(D140:G140)/2,0)</f>
        <v>0</v>
      </c>
      <c r="I140" s="20"/>
      <c r="J140" s="20">
        <f t="shared" si="21"/>
        <v>0</v>
      </c>
      <c r="K140" s="20">
        <f t="shared" si="21"/>
        <v>0</v>
      </c>
      <c r="L140" s="20">
        <f t="shared" si="21"/>
        <v>0</v>
      </c>
      <c r="M140" s="20">
        <f t="shared" si="21"/>
        <v>0</v>
      </c>
      <c r="N140" s="20"/>
      <c r="O140" s="20">
        <v>0</v>
      </c>
      <c r="P140" s="20">
        <v>0</v>
      </c>
      <c r="Q140" s="20">
        <v>0</v>
      </c>
      <c r="R140" s="20">
        <v>0</v>
      </c>
      <c r="S140" s="20"/>
      <c r="T140" s="20">
        <v>0</v>
      </c>
      <c r="U140" s="20">
        <v>0</v>
      </c>
      <c r="V140" s="20">
        <v>0</v>
      </c>
      <c r="W140" s="20">
        <v>0</v>
      </c>
      <c r="X140" s="29"/>
    </row>
    <row r="141" spans="1:24" ht="15">
      <c r="A141" s="22">
        <f t="shared" si="15"/>
        <v>125</v>
      </c>
      <c r="B141" s="19" t="s">
        <v>568</v>
      </c>
      <c r="C141" s="40" t="s">
        <v>689</v>
      </c>
      <c r="D141" s="20">
        <f>SUM(O141:R141)</f>
        <v>0</v>
      </c>
      <c r="E141" s="20">
        <f>SUM(T141:W141)</f>
        <v>3973983.3899999997</v>
      </c>
      <c r="F141" s="20"/>
      <c r="G141" s="20"/>
      <c r="H141" s="20">
        <f>ROUND(SUM(D141:G141)/2,0)</f>
        <v>1986992</v>
      </c>
      <c r="I141" s="20"/>
      <c r="J141" s="20">
        <f>(+O141+T141)/2</f>
        <v>0</v>
      </c>
      <c r="K141" s="20">
        <f>(+P141+U141)/2</f>
        <v>261677.015</v>
      </c>
      <c r="L141" s="20">
        <f>(+Q141+V141)/2</f>
        <v>1725314.68</v>
      </c>
      <c r="M141" s="20">
        <f>(+R141+W141)/2</f>
        <v>0</v>
      </c>
      <c r="N141" s="20"/>
      <c r="O141" s="20">
        <v>0</v>
      </c>
      <c r="P141" s="20">
        <v>0</v>
      </c>
      <c r="Q141" s="20">
        <v>0</v>
      </c>
      <c r="R141" s="20">
        <v>0</v>
      </c>
      <c r="S141" s="20"/>
      <c r="T141" s="20">
        <v>0</v>
      </c>
      <c r="U141" s="20">
        <v>523354.03</v>
      </c>
      <c r="V141" s="20">
        <v>3450629.36</v>
      </c>
      <c r="W141" s="20">
        <v>0</v>
      </c>
      <c r="X141" s="29"/>
    </row>
    <row r="142" spans="1:24" ht="15">
      <c r="A142" s="22">
        <f t="shared" si="15"/>
        <v>126</v>
      </c>
      <c r="B142" s="19" t="s">
        <v>571</v>
      </c>
      <c r="C142" s="40" t="s">
        <v>128</v>
      </c>
      <c r="D142" s="20">
        <f t="shared" si="18"/>
        <v>2680212.3200000003</v>
      </c>
      <c r="E142" s="20">
        <f t="shared" si="19"/>
        <v>2169133.42</v>
      </c>
      <c r="F142" s="20"/>
      <c r="G142" s="20"/>
      <c r="H142" s="20">
        <f t="shared" si="20"/>
        <v>2424673</v>
      </c>
      <c r="I142" s="20"/>
      <c r="J142" s="20">
        <f t="shared" si="21"/>
        <v>0</v>
      </c>
      <c r="K142" s="20">
        <f t="shared" si="21"/>
        <v>346869.05</v>
      </c>
      <c r="L142" s="20">
        <f t="shared" si="21"/>
        <v>2077803.82</v>
      </c>
      <c r="M142" s="20">
        <f t="shared" si="21"/>
        <v>0</v>
      </c>
      <c r="N142" s="20"/>
      <c r="O142" s="20">
        <v>0</v>
      </c>
      <c r="P142" s="20">
        <v>365707.1</v>
      </c>
      <c r="Q142" s="20">
        <v>2314505.22</v>
      </c>
      <c r="R142" s="20">
        <v>0</v>
      </c>
      <c r="S142" s="20"/>
      <c r="T142" s="20">
        <v>0</v>
      </c>
      <c r="U142" s="20">
        <v>328031</v>
      </c>
      <c r="V142" s="20">
        <v>1841102.42</v>
      </c>
      <c r="W142" s="20">
        <v>0</v>
      </c>
      <c r="X142" s="29"/>
    </row>
    <row r="143" spans="1:24" ht="15">
      <c r="A143" s="22">
        <f t="shared" si="15"/>
        <v>127</v>
      </c>
      <c r="B143" s="19"/>
      <c r="C143" s="40" t="s">
        <v>34</v>
      </c>
      <c r="D143" s="20">
        <f>-99781063.82-335690.85+165451.37</f>
        <v>-99951303.29999998</v>
      </c>
      <c r="E143" s="20">
        <v>-40403.29999999999</v>
      </c>
      <c r="F143" s="20">
        <f aca="true" t="shared" si="22" ref="F143:G147">-D143</f>
        <v>99951303.29999998</v>
      </c>
      <c r="G143" s="20">
        <f t="shared" si="22"/>
        <v>40403.29999999999</v>
      </c>
      <c r="H143" s="20">
        <f t="shared" si="20"/>
        <v>0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9"/>
    </row>
    <row r="144" spans="1:24" ht="15">
      <c r="A144" s="22">
        <f t="shared" si="15"/>
        <v>128</v>
      </c>
      <c r="B144" s="19"/>
      <c r="C144" s="40" t="s">
        <v>130</v>
      </c>
      <c r="D144" s="20">
        <f>511.23+36215240.45+31880431.58-0.02</f>
        <v>68096183.24</v>
      </c>
      <c r="E144" s="20">
        <v>67104823.19</v>
      </c>
      <c r="F144" s="20">
        <f t="shared" si="22"/>
        <v>-68096183.24</v>
      </c>
      <c r="G144" s="20">
        <f t="shared" si="22"/>
        <v>-67104823.19</v>
      </c>
      <c r="H144" s="20">
        <f t="shared" si="20"/>
        <v>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9"/>
    </row>
    <row r="145" spans="1:24" ht="15">
      <c r="A145" s="22">
        <f t="shared" si="15"/>
        <v>129</v>
      </c>
      <c r="B145" s="19"/>
      <c r="C145" s="40" t="s">
        <v>131</v>
      </c>
      <c r="D145" s="20">
        <v>0</v>
      </c>
      <c r="E145" s="20">
        <v>0</v>
      </c>
      <c r="F145" s="20">
        <f t="shared" si="22"/>
        <v>0</v>
      </c>
      <c r="G145" s="20">
        <f t="shared" si="22"/>
        <v>0</v>
      </c>
      <c r="H145" s="20">
        <f t="shared" si="20"/>
        <v>0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9"/>
    </row>
    <row r="146" spans="1:24" ht="15">
      <c r="A146" s="22">
        <f aca="true" t="shared" si="23" ref="A146:A174">A145+1</f>
        <v>130</v>
      </c>
      <c r="B146" s="19" t="s">
        <v>572</v>
      </c>
      <c r="C146" s="76" t="s">
        <v>573</v>
      </c>
      <c r="D146" s="20">
        <v>151354</v>
      </c>
      <c r="E146" s="82">
        <v>56739.78</v>
      </c>
      <c r="F146" s="20">
        <f t="shared" si="22"/>
        <v>-151354</v>
      </c>
      <c r="G146" s="20">
        <f t="shared" si="22"/>
        <v>-56739.78</v>
      </c>
      <c r="H146" s="20">
        <f t="shared" si="20"/>
        <v>0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9"/>
    </row>
    <row r="147" spans="1:24" ht="15">
      <c r="A147" s="22">
        <f t="shared" si="23"/>
        <v>131</v>
      </c>
      <c r="B147" s="19" t="s">
        <v>77</v>
      </c>
      <c r="C147" s="76" t="s">
        <v>574</v>
      </c>
      <c r="D147" s="20">
        <v>4443043</v>
      </c>
      <c r="E147" s="20">
        <v>3708861.12</v>
      </c>
      <c r="F147" s="20">
        <f t="shared" si="22"/>
        <v>-4443043</v>
      </c>
      <c r="G147" s="20">
        <f t="shared" si="22"/>
        <v>-3708861.12</v>
      </c>
      <c r="H147" s="20">
        <f t="shared" si="20"/>
        <v>0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9"/>
    </row>
    <row r="148" spans="1:24" ht="15">
      <c r="A148" s="22">
        <f t="shared" si="23"/>
        <v>132</v>
      </c>
      <c r="B148" s="19"/>
      <c r="C148" s="76" t="s">
        <v>575</v>
      </c>
      <c r="D148" s="20">
        <v>57528</v>
      </c>
      <c r="E148" s="20">
        <v>46410</v>
      </c>
      <c r="F148" s="20">
        <f>-D148</f>
        <v>-57528</v>
      </c>
      <c r="G148" s="20">
        <f>-E148</f>
        <v>-46410</v>
      </c>
      <c r="H148" s="20">
        <f t="shared" si="20"/>
        <v>0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9"/>
    </row>
    <row r="149" spans="1:24" ht="15">
      <c r="A149" s="22">
        <f t="shared" si="23"/>
        <v>133</v>
      </c>
      <c r="B149" s="19"/>
      <c r="C149" s="4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9"/>
    </row>
    <row r="150" spans="1:24" ht="15.75" thickBot="1">
      <c r="A150" s="22">
        <f t="shared" si="23"/>
        <v>134</v>
      </c>
      <c r="B150" s="19"/>
      <c r="C150" s="40"/>
      <c r="D150" s="23">
        <f>SUM(D68:D149)</f>
        <v>507798885.87</v>
      </c>
      <c r="E150" s="23">
        <f>SUM(E68:E149)</f>
        <v>579479667.1899999</v>
      </c>
      <c r="F150" s="23">
        <f>SUM(F68:F149)</f>
        <v>27203195.059999987</v>
      </c>
      <c r="G150" s="23">
        <f>SUM(G68:G149)</f>
        <v>-70876430.79</v>
      </c>
      <c r="H150" s="23">
        <f>SUM(H68:H149)</f>
        <v>521802662</v>
      </c>
      <c r="I150" s="23"/>
      <c r="J150" s="23">
        <f>SUM(J68:J149)</f>
        <v>186230605.19499996</v>
      </c>
      <c r="K150" s="23">
        <f>SUM(K68:K149)</f>
        <v>27355017.134999998</v>
      </c>
      <c r="L150" s="23">
        <f>SUM(L68:L149)</f>
        <v>308075752.12</v>
      </c>
      <c r="M150" s="23">
        <f>SUM(M68:M149)</f>
        <v>141284.21499999997</v>
      </c>
      <c r="N150" s="23"/>
      <c r="O150" s="23">
        <f>SUM(O68:O149)</f>
        <v>372461210.3899999</v>
      </c>
      <c r="P150" s="23">
        <f>SUM(P68:P149)</f>
        <v>19116179.500000004</v>
      </c>
      <c r="Q150" s="23">
        <f>SUM(Q68:Q149)</f>
        <v>143142122.60999998</v>
      </c>
      <c r="R150" s="23">
        <f>SUM(R68:R149)</f>
        <v>282568.42999999993</v>
      </c>
      <c r="S150" s="20"/>
      <c r="T150" s="23">
        <f>SUM(T68:T149)</f>
        <v>0</v>
      </c>
      <c r="U150" s="23">
        <f>SUM(U68:U149)</f>
        <v>35593854.77</v>
      </c>
      <c r="V150" s="23">
        <f>SUM(V68:V149)</f>
        <v>473009381.62999994</v>
      </c>
      <c r="W150" s="23">
        <f>SUM(W68:W149)</f>
        <v>0</v>
      </c>
      <c r="X150" s="29"/>
    </row>
    <row r="151" spans="1:24" ht="15.75" thickTop="1">
      <c r="A151" s="22">
        <f t="shared" si="23"/>
        <v>135</v>
      </c>
      <c r="B151" s="19"/>
      <c r="C151" s="9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0"/>
      <c r="T151" s="24"/>
      <c r="U151" s="24"/>
      <c r="V151" s="81"/>
      <c r="W151" s="24"/>
      <c r="X151" s="29"/>
    </row>
    <row r="152" spans="1:24" ht="15">
      <c r="A152" s="22">
        <f t="shared" si="23"/>
        <v>136</v>
      </c>
      <c r="B152" s="19"/>
      <c r="C152" s="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5"/>
      <c r="P152" s="25"/>
      <c r="Q152" s="25"/>
      <c r="R152" s="25"/>
      <c r="S152" s="20"/>
      <c r="T152" s="20"/>
      <c r="U152" s="20"/>
      <c r="V152" s="79"/>
      <c r="W152" s="20"/>
      <c r="X152" s="29"/>
    </row>
    <row r="153" spans="1:24" ht="15">
      <c r="A153" s="22">
        <f t="shared" si="23"/>
        <v>137</v>
      </c>
      <c r="B153" s="19"/>
      <c r="C153" s="19" t="s">
        <v>576</v>
      </c>
      <c r="D153" s="20">
        <f>SUM(O153:R153)</f>
        <v>69075054</v>
      </c>
      <c r="E153" s="20">
        <f>SUM(T153:W153)</f>
        <v>26884384</v>
      </c>
      <c r="F153" s="20"/>
      <c r="G153" s="20"/>
      <c r="H153" s="20">
        <f>ROUND(SUM(D153:G153)/2,0)</f>
        <v>47979719</v>
      </c>
      <c r="I153" s="83"/>
      <c r="J153" s="20">
        <f>(+O153+T153)/2</f>
        <v>32162149</v>
      </c>
      <c r="K153" s="20">
        <f>(+P153+U153)/2</f>
        <v>4110711</v>
      </c>
      <c r="L153" s="20">
        <f>(+Q153+V153)/2</f>
        <v>11765156</v>
      </c>
      <c r="M153" s="20">
        <f>(+R153+W153)/2</f>
        <v>-58297</v>
      </c>
      <c r="N153" s="83"/>
      <c r="O153" s="20">
        <f>40250870+24073428</f>
        <v>64324298</v>
      </c>
      <c r="P153" s="20">
        <v>1591367</v>
      </c>
      <c r="Q153" s="20">
        <v>3275983</v>
      </c>
      <c r="R153" s="20">
        <v>-116594</v>
      </c>
      <c r="S153" s="83"/>
      <c r="T153" s="20"/>
      <c r="U153" s="20">
        <f>2817000+3813055</f>
        <v>6630055</v>
      </c>
      <c r="V153" s="20">
        <f>7835007+4830993+7588329</f>
        <v>20254329</v>
      </c>
      <c r="W153" s="20"/>
      <c r="X153" s="9"/>
    </row>
    <row r="154" spans="1:24" ht="15">
      <c r="A154" s="22">
        <f t="shared" si="23"/>
        <v>138</v>
      </c>
      <c r="B154" s="19" t="s">
        <v>577</v>
      </c>
      <c r="C154" s="40" t="s">
        <v>136</v>
      </c>
      <c r="D154" s="20">
        <f>7086043+14197193</f>
        <v>21283236</v>
      </c>
      <c r="E154" s="20">
        <f>21020349-6734000-12521000</f>
        <v>1765349</v>
      </c>
      <c r="F154" s="20">
        <f>-D154</f>
        <v>-21283236</v>
      </c>
      <c r="G154" s="20">
        <f>-E154</f>
        <v>-1765349</v>
      </c>
      <c r="H154" s="20">
        <f>ROUND(SUM(D154:G154)/2,0)</f>
        <v>0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79"/>
      <c r="W154" s="20"/>
      <c r="X154" s="9"/>
    </row>
    <row r="155" spans="1:24" ht="15">
      <c r="A155" s="22">
        <f t="shared" si="23"/>
        <v>139</v>
      </c>
      <c r="B155" s="19" t="s">
        <v>578</v>
      </c>
      <c r="C155" s="4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79"/>
      <c r="W155" s="20"/>
      <c r="X155" s="29"/>
    </row>
    <row r="156" spans="1:24" ht="15.75" thickBot="1">
      <c r="A156" s="22">
        <f t="shared" si="23"/>
        <v>140</v>
      </c>
      <c r="B156" s="19"/>
      <c r="C156" s="10" t="s">
        <v>137</v>
      </c>
      <c r="D156" s="23">
        <f>SUM(D150:D155)</f>
        <v>598157175.87</v>
      </c>
      <c r="E156" s="23">
        <f>SUM(E150:E155)</f>
        <v>608129400.1899999</v>
      </c>
      <c r="F156" s="23">
        <f>SUM(F150:F155)</f>
        <v>5919959.0599999875</v>
      </c>
      <c r="G156" s="23">
        <f>SUM(G150:G155)</f>
        <v>-72641779.79</v>
      </c>
      <c r="H156" s="23">
        <f>SUM(H150:H155)</f>
        <v>569782381</v>
      </c>
      <c r="I156" s="23"/>
      <c r="J156" s="23">
        <f>SUM(J150:J155)</f>
        <v>218392754.19499996</v>
      </c>
      <c r="K156" s="23">
        <f>SUM(K150:K155)</f>
        <v>31465728.134999998</v>
      </c>
      <c r="L156" s="23">
        <f>SUM(L150:L155)</f>
        <v>319840908.12</v>
      </c>
      <c r="M156" s="23">
        <f>SUM(M150:M155)</f>
        <v>82987.21499999997</v>
      </c>
      <c r="N156" s="84" t="s">
        <v>77</v>
      </c>
      <c r="O156" s="23">
        <f>SUM(O150:O155)</f>
        <v>436785508.3899999</v>
      </c>
      <c r="P156" s="23">
        <f>SUM(P150:P155)</f>
        <v>20707546.500000004</v>
      </c>
      <c r="Q156" s="23">
        <f>SUM(Q150:Q155)</f>
        <v>146418105.60999998</v>
      </c>
      <c r="R156" s="23">
        <f>SUM(R150:R155)</f>
        <v>165974.42999999993</v>
      </c>
      <c r="S156" s="84" t="s">
        <v>77</v>
      </c>
      <c r="T156" s="23">
        <f>SUM(T150:T155)</f>
        <v>0</v>
      </c>
      <c r="U156" s="23">
        <f>SUM(U150:U155)</f>
        <v>42223909.77</v>
      </c>
      <c r="V156" s="23">
        <f>SUM(V150:V155)</f>
        <v>493263710.62999994</v>
      </c>
      <c r="W156" s="23">
        <f>SUM(W150:W155)</f>
        <v>0</v>
      </c>
      <c r="X156" s="29"/>
    </row>
    <row r="157" spans="1:24" ht="15.75" thickTop="1">
      <c r="A157" s="22">
        <f t="shared" si="23"/>
        <v>141</v>
      </c>
      <c r="B157" s="19"/>
      <c r="C157" s="9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0"/>
      <c r="T157" s="81"/>
      <c r="U157" s="24"/>
      <c r="V157" s="24"/>
      <c r="W157" s="24"/>
      <c r="X157" s="29"/>
    </row>
    <row r="158" spans="1:24" ht="15">
      <c r="A158" s="22">
        <f t="shared" si="23"/>
        <v>142</v>
      </c>
      <c r="B158" s="19"/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79"/>
      <c r="U158" s="20"/>
      <c r="V158" s="20"/>
      <c r="W158" s="20"/>
      <c r="X158" s="29"/>
    </row>
    <row r="159" spans="1:24" ht="15">
      <c r="A159" s="22">
        <f t="shared" si="23"/>
        <v>143</v>
      </c>
      <c r="B159" s="19"/>
      <c r="C159" s="10" t="s">
        <v>138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79"/>
      <c r="U159" s="20"/>
      <c r="V159" s="20"/>
      <c r="W159" s="20"/>
      <c r="X159" s="29"/>
    </row>
    <row r="160" spans="1:24" ht="15">
      <c r="A160" s="22">
        <f t="shared" si="23"/>
        <v>144</v>
      </c>
      <c r="B160" s="19"/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79"/>
      <c r="U160" s="20"/>
      <c r="V160" s="20"/>
      <c r="W160" s="20"/>
      <c r="X160" s="29"/>
    </row>
    <row r="161" spans="1:24" ht="15">
      <c r="A161" s="22">
        <f t="shared" si="23"/>
        <v>145</v>
      </c>
      <c r="B161" s="19"/>
      <c r="C161" s="10" t="s">
        <v>139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79"/>
      <c r="U161" s="20"/>
      <c r="V161" s="20"/>
      <c r="W161" s="20"/>
      <c r="X161" s="29"/>
    </row>
    <row r="162" spans="1:24" ht="15">
      <c r="A162" s="22">
        <f t="shared" si="23"/>
        <v>146</v>
      </c>
      <c r="B162" s="19"/>
      <c r="C162" s="9"/>
      <c r="D162" s="2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0"/>
      <c r="P162" s="20"/>
      <c r="Q162" s="20"/>
      <c r="R162" s="20"/>
      <c r="S162" s="20"/>
      <c r="T162" s="79"/>
      <c r="U162" s="20"/>
      <c r="V162" s="20"/>
      <c r="W162" s="20"/>
      <c r="X162" s="29"/>
    </row>
    <row r="163" spans="1:24" ht="15">
      <c r="A163" s="22">
        <f t="shared" si="23"/>
        <v>147</v>
      </c>
      <c r="B163" s="19"/>
      <c r="C163" s="10" t="s">
        <v>140</v>
      </c>
      <c r="D163" s="2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0"/>
      <c r="P163" s="20"/>
      <c r="Q163" s="20"/>
      <c r="R163" s="20"/>
      <c r="S163" s="20"/>
      <c r="T163" s="79"/>
      <c r="U163" s="20"/>
      <c r="V163" s="20"/>
      <c r="W163" s="20"/>
      <c r="X163" s="29"/>
    </row>
    <row r="164" spans="1:24" ht="15">
      <c r="A164" s="22">
        <f t="shared" si="23"/>
        <v>148</v>
      </c>
      <c r="B164" s="19"/>
      <c r="C164" s="1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9"/>
    </row>
    <row r="165" spans="1:24" ht="15">
      <c r="A165" s="22">
        <f t="shared" si="23"/>
        <v>149</v>
      </c>
      <c r="B165" s="19"/>
      <c r="C165" s="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9"/>
    </row>
    <row r="166" spans="1:24" ht="15">
      <c r="A166" s="22">
        <f t="shared" si="23"/>
        <v>150</v>
      </c>
      <c r="B166" s="19"/>
      <c r="C166" s="19" t="s">
        <v>141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9"/>
    </row>
    <row r="167" spans="1:24" ht="15">
      <c r="A167" s="22">
        <f t="shared" si="23"/>
        <v>151</v>
      </c>
      <c r="B167" s="19"/>
      <c r="C167" s="19" t="s">
        <v>142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9"/>
    </row>
    <row r="168" spans="1:24" ht="15">
      <c r="A168" s="22">
        <f t="shared" si="23"/>
        <v>152</v>
      </c>
      <c r="B168" s="19"/>
      <c r="C168" s="4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9"/>
    </row>
    <row r="169" spans="1:24" ht="15">
      <c r="A169" s="22">
        <f t="shared" si="23"/>
        <v>153</v>
      </c>
      <c r="B169" s="19"/>
      <c r="C169" s="4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9"/>
    </row>
    <row r="170" spans="1:24" ht="15">
      <c r="A170" s="22">
        <f t="shared" si="23"/>
        <v>154</v>
      </c>
      <c r="B170" s="19"/>
      <c r="C170" s="4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9"/>
    </row>
    <row r="171" spans="1:24" ht="15">
      <c r="A171" s="22">
        <f t="shared" si="23"/>
        <v>155</v>
      </c>
      <c r="B171" s="19" t="s">
        <v>579</v>
      </c>
      <c r="C171" s="40" t="s">
        <v>580</v>
      </c>
      <c r="D171" s="20">
        <f>SUM(O171:Q171)</f>
        <v>322356</v>
      </c>
      <c r="E171" s="20">
        <f>SUM(T171:V171)</f>
        <v>164574</v>
      </c>
      <c r="F171" s="20"/>
      <c r="G171" s="20"/>
      <c r="H171" s="20">
        <f>ROUND(SUM(D171:G171)/2,0)</f>
        <v>243465</v>
      </c>
      <c r="I171" s="20"/>
      <c r="J171" s="20">
        <f>(+O171+T171)/2</f>
        <v>0</v>
      </c>
      <c r="K171" s="20">
        <f>(+P171+U171)/2</f>
        <v>141141</v>
      </c>
      <c r="L171" s="20">
        <f>(+Q171+V171)/2</f>
        <v>102324</v>
      </c>
      <c r="M171" s="20">
        <f>(+R171+W171)/2</f>
        <v>0</v>
      </c>
      <c r="N171" s="20"/>
      <c r="O171" s="20">
        <v>0</v>
      </c>
      <c r="P171" s="20">
        <v>191502</v>
      </c>
      <c r="Q171" s="20">
        <v>130854</v>
      </c>
      <c r="R171" s="20"/>
      <c r="S171" s="20"/>
      <c r="T171" s="20">
        <v>0</v>
      </c>
      <c r="U171" s="20">
        <v>90780</v>
      </c>
      <c r="V171" s="20">
        <v>73794</v>
      </c>
      <c r="W171" s="20">
        <v>0</v>
      </c>
      <c r="X171" s="29"/>
    </row>
    <row r="172" spans="1:24" ht="15">
      <c r="A172" s="22">
        <f t="shared" si="23"/>
        <v>156</v>
      </c>
      <c r="B172" s="19"/>
      <c r="C172" s="4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9"/>
    </row>
    <row r="173" spans="1:24" ht="15">
      <c r="A173" s="22">
        <f t="shared" si="23"/>
        <v>157</v>
      </c>
      <c r="B173" s="19"/>
      <c r="C173" s="76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9"/>
    </row>
    <row r="174" spans="1:24" ht="15.75" thickBot="1">
      <c r="A174" s="22">
        <f t="shared" si="23"/>
        <v>158</v>
      </c>
      <c r="B174" s="9"/>
      <c r="C174" s="19" t="s">
        <v>145</v>
      </c>
      <c r="D174" s="23">
        <f>SUM(D168:D173)</f>
        <v>322356</v>
      </c>
      <c r="E174" s="23">
        <f>SUM(E168:E173)</f>
        <v>164574</v>
      </c>
      <c r="F174" s="23">
        <f>SUM(F168:F173)</f>
        <v>0</v>
      </c>
      <c r="G174" s="23">
        <f>SUM(G168:G173)</f>
        <v>0</v>
      </c>
      <c r="H174" s="23">
        <f>SUM(H168:H173)</f>
        <v>243465</v>
      </c>
      <c r="I174" s="23"/>
      <c r="J174" s="23">
        <f>SUM(J168:J173)</f>
        <v>0</v>
      </c>
      <c r="K174" s="23">
        <f>SUM(K168:K173)</f>
        <v>141141</v>
      </c>
      <c r="L174" s="23">
        <f>SUM(L168:L173)</f>
        <v>102324</v>
      </c>
      <c r="M174" s="23">
        <f>SUM(M168:M173)</f>
        <v>0</v>
      </c>
      <c r="N174" s="23"/>
      <c r="O174" s="23">
        <f>SUM(O168:O173)</f>
        <v>0</v>
      </c>
      <c r="P174" s="23">
        <f>SUM(P168:P173)</f>
        <v>191502</v>
      </c>
      <c r="Q174" s="23">
        <f>SUM(Q168:Q173)</f>
        <v>130854</v>
      </c>
      <c r="R174" s="23">
        <f>SUM(R168:R173)</f>
        <v>0</v>
      </c>
      <c r="S174" s="20"/>
      <c r="T174" s="23">
        <f>SUM(T168:T173)</f>
        <v>0</v>
      </c>
      <c r="U174" s="23">
        <f>SUM(U168:U173)</f>
        <v>90780</v>
      </c>
      <c r="V174" s="23">
        <f>SUM(V168:V173)</f>
        <v>73794</v>
      </c>
      <c r="W174" s="23">
        <f>SUM(W168:W173)</f>
        <v>0</v>
      </c>
      <c r="X174" s="29"/>
    </row>
    <row r="175" spans="1:24" ht="15.75" thickTop="1">
      <c r="A175" s="85" t="s">
        <v>77</v>
      </c>
      <c r="B175" s="9"/>
      <c r="C175" s="9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0"/>
      <c r="T175" s="24"/>
      <c r="U175" s="24"/>
      <c r="V175" s="24"/>
      <c r="W175" s="24"/>
      <c r="X175" s="29"/>
    </row>
    <row r="176" spans="1:24" ht="15">
      <c r="A176" s="85" t="s">
        <v>77</v>
      </c>
      <c r="B176" s="9"/>
      <c r="C176" s="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5" t="s">
        <v>77</v>
      </c>
      <c r="P176" s="20"/>
      <c r="Q176" s="25" t="s">
        <v>77</v>
      </c>
      <c r="R176" s="25"/>
      <c r="S176" s="20"/>
      <c r="T176" s="20"/>
      <c r="U176" s="20"/>
      <c r="V176" s="20"/>
      <c r="W176" s="20"/>
      <c r="X176" s="29"/>
    </row>
    <row r="177" spans="1:24" ht="15">
      <c r="A177" s="85" t="s">
        <v>77</v>
      </c>
      <c r="B177" s="9"/>
      <c r="C177" s="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9"/>
    </row>
    <row r="178" spans="1:24" ht="15">
      <c r="A178" s="22"/>
      <c r="B178" s="9"/>
      <c r="C178" s="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9"/>
    </row>
    <row r="179" spans="1:24" ht="15">
      <c r="A179" s="22"/>
      <c r="B179" s="9"/>
      <c r="C179" s="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9"/>
    </row>
    <row r="180" spans="1:24" ht="15">
      <c r="A180" s="7"/>
      <c r="B180" s="9"/>
      <c r="C180" s="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9"/>
    </row>
    <row r="181" spans="1:24" ht="15">
      <c r="A181" s="7"/>
      <c r="B181" s="9"/>
      <c r="C181" s="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9"/>
    </row>
    <row r="182" spans="1:24" ht="15">
      <c r="A182" s="7"/>
      <c r="B182" s="9"/>
      <c r="C182" s="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9"/>
    </row>
    <row r="183" spans="1:24" ht="15">
      <c r="A183" s="7"/>
      <c r="B183" s="9"/>
      <c r="C183" s="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9"/>
    </row>
    <row r="184" spans="4:23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4:23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4:23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4:23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4:23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4:23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4:23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4:23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4:23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4:23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4:23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4:23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4:23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4:23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4:23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4:23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4:23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4:23" ht="12.7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4:23" ht="12.7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4:23" ht="12.7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4:23" ht="12.7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4:23" ht="12.7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4:23" ht="12.7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4:23" ht="12.7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4:23" ht="12.7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4:23" ht="12.7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4:23" ht="12.7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4:23" ht="12.7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4:23" ht="12.7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4:23" ht="12.7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4:23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4:23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4:23" ht="12.7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4:23" ht="12.7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4:23" ht="12.7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4:23" ht="12.7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4:23" ht="12.7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4:23" ht="12.7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4:23" ht="12.7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4:23" ht="12.7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4:23" ht="12.7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4:23" ht="12.7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4:23" ht="12.7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4:23" ht="12.7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4:23" ht="12.7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4:23" ht="12.7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4:23" ht="12.7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4:23" ht="12.7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4:23" ht="12.7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4:23" ht="12.7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4:23" ht="12.7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4:23" ht="12.7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4:23" ht="12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4:23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4:23" ht="12.7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4:23" ht="12.7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4:23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4:23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4:23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4:23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4:23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4:23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4:23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4:23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4:23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4:23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4:23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4:23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4:23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4:23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4:23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4:23" ht="12.7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4:23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4:23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4:23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4:23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4:23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4:23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4:23" ht="12.7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4:23" ht="12.7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4:23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4:23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4:23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4:23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4:23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4:23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4:23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4:23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4:23" ht="12.7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4:23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4:23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4:23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4:23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4:23" ht="12.7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4:23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4:23" ht="12.7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4:23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4:23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4:23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4:23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4:23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4:23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4:23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4:23" ht="12.7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4:23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4:23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4:23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4:23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4:23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4:23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4:23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4:23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4:23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4:23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4:23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4:23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4:23" ht="12.7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4:23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4:23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4:23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4:23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4:23" ht="12.7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4:23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4:23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4:23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4:23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4:23" ht="12.7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4:23" ht="12.7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4:23" ht="12.7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4:23" ht="12.7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4:23" ht="12.7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4:23" ht="12.7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4:23" ht="12.7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4:23" ht="12.7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4:23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4:23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4:23" ht="12.7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4:23" ht="12.7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4:23" ht="12.7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4:23" ht="12.7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4:23" ht="12.7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4:23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4:23" ht="12.7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4:23" ht="12.7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4:23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4:23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4:23" ht="12.7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4:23" ht="12.7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4:23" ht="12.7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4:23" ht="12.7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4:23" ht="12.7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4:23" ht="12.7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4:23" ht="12.7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4:23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4:23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4:23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4:23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4:23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4:23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4:23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4:23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4:23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4:23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4:23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4:23" ht="12.7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4:23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4:23" ht="12.7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4:23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4:23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4:23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4:23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4:23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4:23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4:23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4:23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</sheetData>
  <sheetProtection/>
  <printOptions/>
  <pageMargins left="0.75" right="0" top="0.73" bottom="0.55" header="0" footer="0"/>
  <pageSetup horizontalDpi="600" verticalDpi="600" orientation="portrait" scale="70" r:id="rId1"/>
  <headerFooter alignWithMargins="0">
    <oddHeader>&amp;RSTATEMENT AF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Diane M Keegan</cp:lastModifiedBy>
  <dcterms:created xsi:type="dcterms:W3CDTF">2013-05-16T19:54:18Z</dcterms:created>
  <dcterms:modified xsi:type="dcterms:W3CDTF">2014-05-25T19:52:34Z</dcterms:modified>
  <cp:category/>
  <cp:version/>
  <cp:contentType/>
  <cp:contentStatus/>
</cp:coreProperties>
</file>